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/>
  <bookViews>
    <workbookView xWindow="0" yWindow="780" windowWidth="19440" windowHeight="10980" firstSheet="6" activeTab="6"/>
  </bookViews>
  <sheets>
    <sheet name="Input" sheetId="1" state="hidden" r:id="rId1"/>
    <sheet name="Reporte Evolución Mensual" sheetId="2" state="hidden" r:id="rId2"/>
    <sheet name="Listas" sheetId="5" state="hidden" r:id="rId3"/>
    <sheet name="Proyeccion Transferencias" sheetId="7" state="hidden" r:id="rId4"/>
    <sheet name="Gastos de Capital" sheetId="8" state="hidden" r:id="rId5"/>
    <sheet name="Hoja1" sheetId="9" state="hidden" r:id="rId6"/>
    <sheet name="FORECAST - ppt" sheetId="10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6" hidden="1">'FORECAST - ppt'!$AD$1:$AD$63</definedName>
    <definedName name="_xlnm._FilterDatabase" localSheetId="0" hidden="1">Input!$A$1:$DV$368</definedName>
    <definedName name="_xlnm._FilterDatabase" localSheetId="1" hidden="1">'Reporte Evolución Mensual'!$AC$1:$AC$63</definedName>
    <definedName name="_xlnm.Print_Area" localSheetId="6">'FORECAST - ppt'!$B$1:$Y$117</definedName>
    <definedName name="_xlnm.Print_Area" localSheetId="1">'Reporte Evolución Mensual'!$B$1:$X$117</definedName>
    <definedName name="entidad">[1]Listas!$C$40:$C$61</definedName>
    <definedName name="mes">[1]Listas!$C$16:$C$27</definedName>
    <definedName name="Secretaría_de_Obras">[1]Input!$E$8</definedName>
  </definedNames>
  <calcPr calcId="145621"/>
</workbook>
</file>

<file path=xl/calcChain.xml><?xml version="1.0" encoding="utf-8"?>
<calcChain xmlns="http://schemas.openxmlformats.org/spreadsheetml/2006/main">
  <c r="R13" i="10" l="1"/>
  <c r="V70" i="10" l="1"/>
  <c r="V71" i="10"/>
  <c r="V69" i="10"/>
  <c r="V19" i="10"/>
  <c r="V21" i="10"/>
  <c r="V22" i="10"/>
  <c r="V23" i="10"/>
  <c r="V24" i="10"/>
  <c r="V25" i="10"/>
  <c r="V26" i="10"/>
  <c r="V27" i="10"/>
  <c r="V28" i="10"/>
  <c r="V29" i="10"/>
  <c r="V30" i="10"/>
  <c r="V18" i="10"/>
  <c r="Q45" i="10" l="1"/>
  <c r="R19" i="10"/>
  <c r="R27" i="10"/>
  <c r="R28" i="10"/>
  <c r="R18" i="10"/>
  <c r="R69" i="10"/>
  <c r="Q71" i="10"/>
  <c r="Q30" i="10"/>
  <c r="Q41" i="10" s="1"/>
  <c r="J45" i="10" l="1"/>
  <c r="L45" i="10"/>
  <c r="H69" i="10" l="1"/>
  <c r="P30" i="10" l="1"/>
  <c r="P41" i="10" s="1"/>
  <c r="P92" i="10" s="1"/>
  <c r="P71" i="10"/>
  <c r="O45" i="10" l="1"/>
  <c r="O71" i="10" l="1"/>
  <c r="O30" i="10"/>
  <c r="O41" i="10" s="1"/>
  <c r="O92" i="10" s="1"/>
  <c r="N70" i="10" l="1"/>
  <c r="R70" i="10" s="1"/>
  <c r="L71" i="10"/>
  <c r="M71" i="10"/>
  <c r="N71" i="10"/>
  <c r="N45" i="10"/>
  <c r="N30" i="10"/>
  <c r="N41" i="10" s="1"/>
  <c r="N92" i="10" s="1"/>
  <c r="M45" i="10" l="1"/>
  <c r="R45" i="10" s="1"/>
  <c r="M87" i="10"/>
  <c r="M30" i="10" l="1"/>
  <c r="M41" i="10" s="1"/>
  <c r="M92" i="10" s="1"/>
  <c r="L30" i="10" l="1"/>
  <c r="L41" i="10" s="1"/>
  <c r="L92" i="10" l="1"/>
  <c r="J87" i="10" l="1"/>
  <c r="R87" i="10" s="1"/>
  <c r="K30" i="10" l="1"/>
  <c r="K41" i="10" s="1"/>
  <c r="J71" i="10"/>
  <c r="K71" i="10"/>
  <c r="K92" i="10" l="1"/>
  <c r="J30" i="10" l="1"/>
  <c r="J41" i="10" s="1"/>
  <c r="J92" i="10" s="1"/>
  <c r="S30" i="10" l="1"/>
  <c r="T30" i="10"/>
  <c r="U30" i="10"/>
  <c r="I29" i="10" l="1"/>
  <c r="R29" i="10" s="1"/>
  <c r="I25" i="10"/>
  <c r="R25" i="10" s="1"/>
  <c r="I24" i="10"/>
  <c r="R24" i="10" s="1"/>
  <c r="I23" i="10"/>
  <c r="R23" i="10" s="1"/>
  <c r="I22" i="10"/>
  <c r="R22" i="10" s="1"/>
  <c r="I21" i="10"/>
  <c r="R21" i="10" s="1"/>
  <c r="U71" i="10" l="1"/>
  <c r="U41" i="10"/>
  <c r="U92" i="10" s="1"/>
  <c r="T71" i="10" l="1"/>
  <c r="T41" i="10"/>
  <c r="T92" i="10" l="1"/>
  <c r="S71" i="10"/>
  <c r="S41" i="10" l="1"/>
  <c r="S92" i="10" s="1"/>
  <c r="I71" i="10" l="1"/>
  <c r="R71" i="10" s="1"/>
  <c r="H71" i="10"/>
  <c r="I30" i="10"/>
  <c r="H30" i="10"/>
  <c r="H41" i="10" s="1"/>
  <c r="H45" i="10" s="1"/>
  <c r="R30" i="10" l="1"/>
  <c r="H92" i="10"/>
  <c r="I41" i="10"/>
  <c r="I92" i="10" s="1"/>
  <c r="R41" i="10" l="1"/>
  <c r="R92" i="10" s="1"/>
  <c r="BL27" i="1" l="1"/>
  <c r="BF27" i="1"/>
  <c r="AZ27" i="1"/>
  <c r="AP187" i="1"/>
  <c r="AJ187" i="1"/>
  <c r="R187" i="1"/>
  <c r="AD153" i="1"/>
  <c r="X153" i="1"/>
  <c r="X33" i="1"/>
  <c r="AA33" i="1"/>
  <c r="AY45" i="1"/>
  <c r="BZ33" i="1"/>
  <c r="CF33" i="1"/>
  <c r="BT33" i="1"/>
  <c r="BN33" i="1"/>
  <c r="BK45" i="1"/>
  <c r="BK44" i="1"/>
  <c r="CI40" i="1"/>
  <c r="CC40" i="1"/>
  <c r="BW40" i="1"/>
  <c r="BQ40" i="1"/>
  <c r="BE44" i="1"/>
  <c r="BE67" i="1" l="1"/>
  <c r="BK67" i="1"/>
  <c r="BQ67" i="1"/>
  <c r="BR67" i="1" l="1"/>
  <c r="CD27" i="1" s="1"/>
  <c r="BL67" i="1"/>
  <c r="BX27" i="1" s="1"/>
  <c r="BX67" i="1"/>
  <c r="CJ27" i="1" s="1"/>
  <c r="CJ67" i="1"/>
  <c r="BF67" i="1"/>
  <c r="BR27" i="1" s="1"/>
  <c r="AT67" i="1"/>
  <c r="AT27" i="1" s="1"/>
  <c r="CF67" i="1" l="1"/>
  <c r="CF24" i="1" s="1"/>
  <c r="CD67" i="1" l="1"/>
  <c r="AZ67" i="1"/>
  <c r="BN67" i="1" l="1"/>
  <c r="BN24" i="1" s="1"/>
  <c r="BH67" i="1"/>
  <c r="BH24" i="1" s="1"/>
  <c r="BB67" i="1"/>
  <c r="BB24" i="1" s="1"/>
  <c r="AV67" i="1"/>
  <c r="AV24" i="1" s="1"/>
  <c r="AP67" i="1"/>
  <c r="AM187" i="1" l="1"/>
  <c r="AJ144" i="1" l="1"/>
  <c r="BZ23" i="1" l="1"/>
  <c r="BH23" i="1"/>
  <c r="BN23" i="1"/>
  <c r="BT23" i="1"/>
  <c r="BY23" i="1" s="1"/>
  <c r="CF23" i="1"/>
  <c r="AV23" i="1"/>
  <c r="BB23" i="1"/>
  <c r="AK15" i="1" l="1"/>
  <c r="AJ33" i="1" l="1"/>
  <c r="AA187" i="1"/>
  <c r="AG187" i="1" l="1"/>
  <c r="X228" i="1" l="1"/>
  <c r="V7" i="7"/>
  <c r="L17" i="7" l="1"/>
  <c r="K17" i="7"/>
  <c r="K19" i="7" s="1"/>
  <c r="K35" i="7" s="1"/>
  <c r="K43" i="7"/>
  <c r="V42" i="7"/>
  <c r="U42" i="7"/>
  <c r="T42" i="7"/>
  <c r="S42" i="7"/>
  <c r="R42" i="7"/>
  <c r="Q42" i="7"/>
  <c r="P42" i="7"/>
  <c r="O42" i="7"/>
  <c r="N42" i="7"/>
  <c r="M42" i="7"/>
  <c r="V41" i="7"/>
  <c r="U41" i="7"/>
  <c r="T41" i="7"/>
  <c r="S41" i="7"/>
  <c r="T39" i="7" s="1"/>
  <c r="R41" i="7"/>
  <c r="S39" i="7" s="1"/>
  <c r="Q41" i="7"/>
  <c r="R39" i="7" s="1"/>
  <c r="P41" i="7"/>
  <c r="Q39" i="7" s="1"/>
  <c r="O41" i="7"/>
  <c r="P39" i="7" s="1"/>
  <c r="N41" i="7"/>
  <c r="O39" i="7" s="1"/>
  <c r="M41" i="7"/>
  <c r="N39" i="7" s="1"/>
  <c r="L41" i="7"/>
  <c r="M39" i="7" s="1"/>
  <c r="U40" i="7"/>
  <c r="T40" i="7"/>
  <c r="S40" i="7"/>
  <c r="R40" i="7"/>
  <c r="Q40" i="7"/>
  <c r="P40" i="7"/>
  <c r="O40" i="7"/>
  <c r="N40" i="7"/>
  <c r="M40" i="7"/>
  <c r="L40" i="7"/>
  <c r="V39" i="7"/>
  <c r="U39" i="7"/>
  <c r="V38" i="7"/>
  <c r="U38" i="7"/>
  <c r="T38" i="7"/>
  <c r="S38" i="7"/>
  <c r="R38" i="7"/>
  <c r="Q38" i="7"/>
  <c r="P38" i="7"/>
  <c r="O38" i="7"/>
  <c r="N38" i="7"/>
  <c r="M38" i="7"/>
  <c r="L38" i="7"/>
  <c r="V34" i="7"/>
  <c r="U34" i="7"/>
  <c r="T34" i="7"/>
  <c r="S34" i="7"/>
  <c r="R34" i="7"/>
  <c r="Q34" i="7"/>
  <c r="P34" i="7"/>
  <c r="O34" i="7"/>
  <c r="N34" i="7"/>
  <c r="M34" i="7"/>
  <c r="L34" i="7"/>
  <c r="K34" i="7"/>
  <c r="W33" i="7"/>
  <c r="W32" i="7"/>
  <c r="W31" i="7"/>
  <c r="W34" i="7" l="1"/>
  <c r="M43" i="7"/>
  <c r="Q43" i="7"/>
  <c r="U43" i="7"/>
  <c r="O43" i="7"/>
  <c r="S43" i="7"/>
  <c r="V43" i="7"/>
  <c r="W40" i="7"/>
  <c r="W39" i="7"/>
  <c r="W38" i="7"/>
  <c r="P43" i="7"/>
  <c r="T43" i="7"/>
  <c r="W42" i="7"/>
  <c r="N43" i="7"/>
  <c r="R43" i="7"/>
  <c r="W41" i="7"/>
  <c r="L43" i="7"/>
  <c r="W43" i="7" l="1"/>
  <c r="AB101" i="1"/>
  <c r="AH101" i="1"/>
  <c r="AN101" i="1"/>
  <c r="AO101" i="1" s="1"/>
  <c r="CD101" i="1"/>
  <c r="CE101" i="1" s="1"/>
  <c r="CK102" i="1"/>
  <c r="CK100" i="1"/>
  <c r="CE102" i="1"/>
  <c r="CE100" i="1"/>
  <c r="BY102" i="1"/>
  <c r="BY100" i="1"/>
  <c r="BS102" i="1"/>
  <c r="BS100" i="1"/>
  <c r="BM102" i="1"/>
  <c r="BM100" i="1"/>
  <c r="BG102" i="1"/>
  <c r="BG100" i="1"/>
  <c r="BA102" i="1"/>
  <c r="BA100" i="1"/>
  <c r="AU102" i="1"/>
  <c r="AU100" i="1"/>
  <c r="AO102" i="1"/>
  <c r="AO100" i="1"/>
  <c r="Y109" i="1"/>
  <c r="R228" i="1"/>
  <c r="AO103" i="1" l="1"/>
  <c r="CE103" i="1"/>
  <c r="L19" i="7"/>
  <c r="L35" i="7" s="1"/>
  <c r="N17" i="7"/>
  <c r="N19" i="7" s="1"/>
  <c r="N35" i="7" s="1"/>
  <c r="M17" i="7"/>
  <c r="M19" i="7" s="1"/>
  <c r="M35" i="7" s="1"/>
  <c r="L33" i="1"/>
  <c r="AD34" i="1" l="1"/>
  <c r="AK99" i="1" l="1"/>
  <c r="AO99" i="1" s="1"/>
  <c r="Y99" i="1"/>
  <c r="AE99" i="1" s="1"/>
  <c r="AE18" i="1"/>
  <c r="AW18" i="1" s="1"/>
  <c r="BC18" i="1" s="1"/>
  <c r="BI18" i="1" s="1"/>
  <c r="BO18" i="1" s="1"/>
  <c r="BU18" i="1" s="1"/>
  <c r="CA18" i="1" s="1"/>
  <c r="CG18" i="1" s="1"/>
  <c r="CJ101" i="1" l="1"/>
  <c r="CK101" i="1" s="1"/>
  <c r="CK103" i="1" s="1"/>
  <c r="AJ24" i="1"/>
  <c r="AD24" i="1"/>
  <c r="X24" i="1"/>
  <c r="AP108" i="1"/>
  <c r="AJ23" i="1"/>
  <c r="AJ108" i="1" s="1"/>
  <c r="AD108" i="1"/>
  <c r="X23" i="1"/>
  <c r="X108" i="1" s="1"/>
  <c r="AW16" i="1" l="1"/>
  <c r="V13" i="7"/>
  <c r="U13" i="7"/>
  <c r="U17" i="7" s="1"/>
  <c r="U19" i="7" s="1"/>
  <c r="U35" i="7" s="1"/>
  <c r="T12" i="7"/>
  <c r="S12" i="7"/>
  <c r="R12" i="7"/>
  <c r="Q12" i="7"/>
  <c r="P12" i="7"/>
  <c r="CI67" i="1"/>
  <c r="CC67" i="1"/>
  <c r="BZ67" i="1" s="1"/>
  <c r="BZ24" i="1" s="1"/>
  <c r="BW67" i="1"/>
  <c r="BT67" i="1" s="1"/>
  <c r="BT24" i="1" s="1"/>
  <c r="BY24" i="1" s="1"/>
  <c r="AH67" i="1"/>
  <c r="AG67" i="1"/>
  <c r="AD67" i="1"/>
  <c r="AB67" i="1"/>
  <c r="AA67" i="1"/>
  <c r="X67" i="1"/>
  <c r="CI26" i="1"/>
  <c r="CI104" i="1"/>
  <c r="CC26" i="1"/>
  <c r="CC104" i="1"/>
  <c r="BW26" i="1"/>
  <c r="BW104" i="1"/>
  <c r="BQ104" i="1"/>
  <c r="BK104" i="1"/>
  <c r="BE104" i="1"/>
  <c r="AY104" i="1"/>
  <c r="AS104" i="1"/>
  <c r="AG25" i="1"/>
  <c r="AG26" i="1"/>
  <c r="AA25" i="1"/>
  <c r="AA111" i="1" s="1"/>
  <c r="AA26" i="1"/>
  <c r="V6" i="7"/>
  <c r="Q6" i="7"/>
  <c r="P6" i="7"/>
  <c r="AV108" i="1" s="1"/>
  <c r="V17" i="7" l="1"/>
  <c r="V19" i="7" s="1"/>
  <c r="V35" i="7" s="1"/>
  <c r="BL101" i="1"/>
  <c r="BM101" i="1" s="1"/>
  <c r="BM103" i="1" s="1"/>
  <c r="R17" i="7"/>
  <c r="R19" i="7" s="1"/>
  <c r="R35" i="7" s="1"/>
  <c r="BR101" i="1"/>
  <c r="BS101" i="1" s="1"/>
  <c r="BS103" i="1" s="1"/>
  <c r="S17" i="7"/>
  <c r="S19" i="7" s="1"/>
  <c r="S35" i="7" s="1"/>
  <c r="AZ101" i="1"/>
  <c r="BA101" i="1" s="1"/>
  <c r="BA103" i="1" s="1"/>
  <c r="P17" i="7"/>
  <c r="P19" i="7" s="1"/>
  <c r="P35" i="7" s="1"/>
  <c r="BX101" i="1"/>
  <c r="BY101" i="1" s="1"/>
  <c r="BY103" i="1" s="1"/>
  <c r="T17" i="7"/>
  <c r="T19" i="7" s="1"/>
  <c r="T35" i="7" s="1"/>
  <c r="BF101" i="1"/>
  <c r="BG101" i="1" s="1"/>
  <c r="BG103" i="1" s="1"/>
  <c r="Q17" i="7"/>
  <c r="Q19" i="7" s="1"/>
  <c r="Q35" i="7" s="1"/>
  <c r="O17" i="7"/>
  <c r="AT101" i="1"/>
  <c r="AU101" i="1" s="1"/>
  <c r="AU103" i="1" s="1"/>
  <c r="BC16" i="1"/>
  <c r="BI16" i="1" l="1"/>
  <c r="W17" i="7"/>
  <c r="O19" i="7"/>
  <c r="W19" i="7" l="1"/>
  <c r="O35" i="7"/>
  <c r="K22" i="8" l="1"/>
  <c r="J22" i="8"/>
  <c r="I22" i="8"/>
  <c r="H22" i="8"/>
  <c r="G22" i="8"/>
  <c r="F22" i="8"/>
  <c r="W13" i="7" l="1"/>
  <c r="X13" i="7" s="1"/>
  <c r="W12" i="7"/>
  <c r="X12" i="7" s="1"/>
  <c r="W10" i="7"/>
  <c r="X10" i="7" s="1"/>
  <c r="W9" i="7"/>
  <c r="X9" i="7" s="1"/>
  <c r="W7" i="7"/>
  <c r="X7" i="7" s="1"/>
  <c r="W6" i="7"/>
  <c r="X6" i="7" s="1"/>
  <c r="J13" i="7"/>
  <c r="J12" i="7"/>
  <c r="J10" i="7"/>
  <c r="J9" i="7"/>
  <c r="J7" i="7"/>
  <c r="J6" i="7"/>
  <c r="CK218" i="1"/>
  <c r="CE218" i="1"/>
  <c r="BY218" i="1"/>
  <c r="BS218" i="1"/>
  <c r="BM218" i="1"/>
  <c r="BG218" i="1"/>
  <c r="BA218" i="1"/>
  <c r="AU218" i="1"/>
  <c r="AO218" i="1"/>
  <c r="AI218" i="1"/>
  <c r="AC218" i="1"/>
  <c r="Q217" i="1"/>
  <c r="Q149" i="1"/>
  <c r="K149" i="1"/>
  <c r="I14" i="7"/>
  <c r="K14" i="7"/>
  <c r="L14" i="7"/>
  <c r="M14" i="7"/>
  <c r="N14" i="7"/>
  <c r="O14" i="7"/>
  <c r="P14" i="7"/>
  <c r="Q14" i="7"/>
  <c r="R14" i="7"/>
  <c r="S14" i="7"/>
  <c r="T14" i="7"/>
  <c r="U14" i="7"/>
  <c r="V14" i="7"/>
  <c r="I11" i="7"/>
  <c r="K11" i="7"/>
  <c r="L11" i="7"/>
  <c r="M11" i="7"/>
  <c r="N11" i="7"/>
  <c r="O11" i="7"/>
  <c r="P11" i="7"/>
  <c r="Q11" i="7"/>
  <c r="R11" i="7"/>
  <c r="S11" i="7"/>
  <c r="T11" i="7"/>
  <c r="U11" i="7"/>
  <c r="V11" i="7"/>
  <c r="H11" i="7"/>
  <c r="I8" i="7"/>
  <c r="K8" i="7"/>
  <c r="L8" i="7"/>
  <c r="M8" i="7"/>
  <c r="N8" i="7"/>
  <c r="O8" i="7"/>
  <c r="P8" i="7"/>
  <c r="Q8" i="7"/>
  <c r="R8" i="7"/>
  <c r="S8" i="7"/>
  <c r="T8" i="7"/>
  <c r="U8" i="7"/>
  <c r="V8" i="7"/>
  <c r="H14" i="7"/>
  <c r="L15" i="7" l="1"/>
  <c r="P15" i="7"/>
  <c r="V15" i="7"/>
  <c r="N15" i="7"/>
  <c r="T15" i="7"/>
  <c r="R15" i="7"/>
  <c r="W8" i="7"/>
  <c r="W11" i="7"/>
  <c r="X11" i="7" s="1"/>
  <c r="U15" i="7"/>
  <c r="Q15" i="7"/>
  <c r="J14" i="7"/>
  <c r="M15" i="7"/>
  <c r="W14" i="7"/>
  <c r="X14" i="7" s="1"/>
  <c r="S15" i="7"/>
  <c r="O15" i="7"/>
  <c r="I15" i="7"/>
  <c r="J11" i="7"/>
  <c r="K15" i="7"/>
  <c r="H8" i="7"/>
  <c r="X8" i="7" l="1"/>
  <c r="J8" i="7"/>
  <c r="W15" i="7"/>
  <c r="H15" i="7"/>
  <c r="X15" i="7" l="1"/>
  <c r="J15" i="7"/>
  <c r="Q62" i="1" l="1"/>
  <c r="R189" i="1" l="1"/>
  <c r="R188" i="1"/>
  <c r="U2" i="2" l="1"/>
  <c r="E268" i="1" l="1"/>
  <c r="E267" i="1"/>
  <c r="E266" i="1"/>
  <c r="E265" i="1"/>
  <c r="E264" i="1"/>
  <c r="E263" i="1"/>
  <c r="E262" i="1"/>
  <c r="E149" i="1"/>
  <c r="E148" i="1"/>
  <c r="E147" i="1"/>
  <c r="E146" i="1"/>
  <c r="E145" i="1"/>
  <c r="E144" i="1"/>
  <c r="E143" i="1"/>
  <c r="E29" i="1"/>
  <c r="E28" i="1"/>
  <c r="E27" i="1"/>
  <c r="E26" i="1"/>
  <c r="E25" i="1"/>
  <c r="E24" i="1"/>
  <c r="E23" i="1"/>
  <c r="C218" i="1" l="1"/>
  <c r="A218" i="1"/>
  <c r="E337" i="1"/>
  <c r="C337" i="1"/>
  <c r="A337" i="1"/>
  <c r="Q218" i="1"/>
  <c r="E218" i="1"/>
  <c r="CN98" i="1"/>
  <c r="CO98" i="1"/>
  <c r="CP98" i="1"/>
  <c r="CM98" i="1"/>
  <c r="CK98" i="1"/>
  <c r="DC98" i="1" s="1"/>
  <c r="CE98" i="1"/>
  <c r="DB98" i="1" s="1"/>
  <c r="BY98" i="1"/>
  <c r="DA98" i="1" s="1"/>
  <c r="BS98" i="1"/>
  <c r="CZ98" i="1" s="1"/>
  <c r="BM98" i="1"/>
  <c r="CY98" i="1" s="1"/>
  <c r="BG98" i="1"/>
  <c r="CX98" i="1" s="1"/>
  <c r="BA98" i="1"/>
  <c r="CW98" i="1" s="1"/>
  <c r="AU98" i="1"/>
  <c r="CV98" i="1" s="1"/>
  <c r="AO98" i="1"/>
  <c r="CU98" i="1" s="1"/>
  <c r="AI98" i="1"/>
  <c r="CT98" i="1" s="1"/>
  <c r="AC98" i="1"/>
  <c r="W98" i="1"/>
  <c r="CR98" i="1" s="1"/>
  <c r="Q98" i="1"/>
  <c r="E98" i="1"/>
  <c r="C98" i="1"/>
  <c r="A98" i="1"/>
  <c r="A85" i="1"/>
  <c r="H107" i="2" l="1"/>
  <c r="CQ98" i="1"/>
  <c r="CS98" i="1"/>
  <c r="H39" i="2" l="1"/>
  <c r="H8" i="2"/>
  <c r="E364" i="1"/>
  <c r="E365" i="1"/>
  <c r="E356" i="1"/>
  <c r="E357" i="1"/>
  <c r="E348" i="1"/>
  <c r="E349" i="1"/>
  <c r="E301" i="1"/>
  <c r="E258" i="1"/>
  <c r="E245" i="1"/>
  <c r="E246" i="1"/>
  <c r="E238" i="1"/>
  <c r="E237" i="1"/>
  <c r="E182" i="1"/>
  <c r="E139" i="1"/>
  <c r="E125" i="1"/>
  <c r="E126" i="1"/>
  <c r="E118" i="1"/>
  <c r="E117" i="1"/>
  <c r="E110" i="1"/>
  <c r="E109" i="1"/>
  <c r="E62" i="1"/>
  <c r="E19" i="1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2" i="1"/>
  <c r="E3" i="2" l="1"/>
  <c r="E63" i="2" s="1"/>
  <c r="E2" i="2"/>
  <c r="F2" i="2" s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6" i="1"/>
  <c r="A87" i="1"/>
  <c r="A88" i="1"/>
  <c r="A89" i="1"/>
  <c r="A90" i="1"/>
  <c r="A91" i="1"/>
  <c r="A92" i="1"/>
  <c r="A93" i="1"/>
  <c r="A94" i="1"/>
  <c r="A95" i="1"/>
  <c r="A96" i="1"/>
  <c r="A97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2" i="1"/>
  <c r="F9" i="1"/>
  <c r="V65" i="2"/>
  <c r="U65" i="2"/>
  <c r="H65" i="2"/>
  <c r="U62" i="2"/>
  <c r="E367" i="1"/>
  <c r="E366" i="1"/>
  <c r="E363" i="1"/>
  <c r="E360" i="1"/>
  <c r="E359" i="1"/>
  <c r="E358" i="1"/>
  <c r="E355" i="1"/>
  <c r="E354" i="1"/>
  <c r="E352" i="1"/>
  <c r="E351" i="1"/>
  <c r="E350" i="1"/>
  <c r="E347" i="1"/>
  <c r="E346" i="1"/>
  <c r="E344" i="1"/>
  <c r="E343" i="1"/>
  <c r="E342" i="1"/>
  <c r="E341" i="1"/>
  <c r="E340" i="1"/>
  <c r="E339" i="1"/>
  <c r="E338" i="1"/>
  <c r="E336" i="1"/>
  <c r="E330" i="1"/>
  <c r="E329" i="1"/>
  <c r="E328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09" i="1"/>
  <c r="E308" i="1"/>
  <c r="E307" i="1"/>
  <c r="E306" i="1"/>
  <c r="E303" i="1"/>
  <c r="E300" i="1"/>
  <c r="E298" i="1"/>
  <c r="E297" i="1"/>
  <c r="E296" i="1"/>
  <c r="E295" i="1"/>
  <c r="E294" i="1"/>
  <c r="E293" i="1"/>
  <c r="E292" i="1"/>
  <c r="E291" i="1"/>
  <c r="E290" i="1"/>
  <c r="E289" i="1"/>
  <c r="E288" i="1"/>
  <c r="E285" i="1"/>
  <c r="E284" i="1"/>
  <c r="E283" i="1"/>
  <c r="E282" i="1"/>
  <c r="E281" i="1"/>
  <c r="E280" i="1"/>
  <c r="E279" i="1"/>
  <c r="E278" i="1"/>
  <c r="E277" i="1"/>
  <c r="E276" i="1"/>
  <c r="E273" i="1"/>
  <c r="E272" i="1"/>
  <c r="E269" i="1"/>
  <c r="E259" i="1"/>
  <c r="E257" i="1"/>
  <c r="E256" i="1"/>
  <c r="E255" i="1"/>
  <c r="E254" i="1"/>
  <c r="CO248" i="1"/>
  <c r="CN248" i="1"/>
  <c r="CM248" i="1"/>
  <c r="CL248" i="1"/>
  <c r="E248" i="1"/>
  <c r="CP247" i="1"/>
  <c r="CN247" i="1"/>
  <c r="CM247" i="1"/>
  <c r="CL247" i="1"/>
  <c r="E247" i="1"/>
  <c r="CP246" i="1"/>
  <c r="CO246" i="1"/>
  <c r="CM246" i="1"/>
  <c r="CL246" i="1"/>
  <c r="CP245" i="1"/>
  <c r="CO245" i="1"/>
  <c r="CN245" i="1"/>
  <c r="CL245" i="1"/>
  <c r="CP244" i="1"/>
  <c r="CO244" i="1"/>
  <c r="CN244" i="1"/>
  <c r="CM244" i="1"/>
  <c r="E244" i="1"/>
  <c r="E241" i="1"/>
  <c r="CO240" i="1"/>
  <c r="CN240" i="1"/>
  <c r="CM240" i="1"/>
  <c r="CL240" i="1"/>
  <c r="E240" i="1"/>
  <c r="CP239" i="1"/>
  <c r="CN239" i="1"/>
  <c r="CM239" i="1"/>
  <c r="CL239" i="1"/>
  <c r="E239" i="1"/>
  <c r="CP238" i="1"/>
  <c r="CO238" i="1"/>
  <c r="CM238" i="1"/>
  <c r="CL238" i="1"/>
  <c r="CP237" i="1"/>
  <c r="CO237" i="1"/>
  <c r="CN237" i="1"/>
  <c r="CL237" i="1"/>
  <c r="CP236" i="1"/>
  <c r="CO236" i="1"/>
  <c r="CN236" i="1"/>
  <c r="CM236" i="1"/>
  <c r="E236" i="1"/>
  <c r="E235" i="1"/>
  <c r="E233" i="1"/>
  <c r="CO232" i="1"/>
  <c r="CN232" i="1"/>
  <c r="CM232" i="1"/>
  <c r="CL232" i="1"/>
  <c r="E232" i="1"/>
  <c r="CP231" i="1"/>
  <c r="CN231" i="1"/>
  <c r="CM231" i="1"/>
  <c r="CL231" i="1"/>
  <c r="E231" i="1"/>
  <c r="CP230" i="1"/>
  <c r="CO230" i="1"/>
  <c r="CM230" i="1"/>
  <c r="CL230" i="1"/>
  <c r="CP229" i="1"/>
  <c r="CO229" i="1"/>
  <c r="CN229" i="1"/>
  <c r="CL229" i="1"/>
  <c r="CP228" i="1"/>
  <c r="CO228" i="1"/>
  <c r="CN228" i="1"/>
  <c r="CM228" i="1"/>
  <c r="E228" i="1"/>
  <c r="E227" i="1"/>
  <c r="E225" i="1"/>
  <c r="CP224" i="1"/>
  <c r="CO224" i="1"/>
  <c r="CN224" i="1"/>
  <c r="CK224" i="1"/>
  <c r="DC224" i="1" s="1"/>
  <c r="CE224" i="1"/>
  <c r="DB224" i="1" s="1"/>
  <c r="BY224" i="1"/>
  <c r="DA224" i="1" s="1"/>
  <c r="BS224" i="1"/>
  <c r="CZ224" i="1" s="1"/>
  <c r="BM224" i="1"/>
  <c r="CY224" i="1" s="1"/>
  <c r="BG224" i="1"/>
  <c r="CX224" i="1" s="1"/>
  <c r="BA224" i="1"/>
  <c r="CW224" i="1" s="1"/>
  <c r="AU224" i="1"/>
  <c r="CV224" i="1" s="1"/>
  <c r="AO224" i="1"/>
  <c r="CU224" i="1" s="1"/>
  <c r="AI224" i="1"/>
  <c r="CT224" i="1" s="1"/>
  <c r="AC224" i="1"/>
  <c r="CS224" i="1" s="1"/>
  <c r="Q224" i="1"/>
  <c r="E224" i="1"/>
  <c r="CK223" i="1"/>
  <c r="DC223" i="1" s="1"/>
  <c r="CJ223" i="1"/>
  <c r="CI223" i="1"/>
  <c r="CH223" i="1"/>
  <c r="CG223" i="1"/>
  <c r="CF223" i="1"/>
  <c r="CE223" i="1"/>
  <c r="DB223" i="1" s="1"/>
  <c r="CD223" i="1"/>
  <c r="CC223" i="1"/>
  <c r="CB223" i="1"/>
  <c r="CA223" i="1"/>
  <c r="BZ223" i="1"/>
  <c r="BY223" i="1"/>
  <c r="DA223" i="1" s="1"/>
  <c r="BX223" i="1"/>
  <c r="BW223" i="1"/>
  <c r="BV223" i="1"/>
  <c r="BU223" i="1"/>
  <c r="BT223" i="1"/>
  <c r="BS223" i="1"/>
  <c r="CZ223" i="1" s="1"/>
  <c r="BR223" i="1"/>
  <c r="BQ223" i="1"/>
  <c r="BP223" i="1"/>
  <c r="BO223" i="1"/>
  <c r="BN223" i="1"/>
  <c r="BM223" i="1"/>
  <c r="CY223" i="1" s="1"/>
  <c r="BL223" i="1"/>
  <c r="BK223" i="1"/>
  <c r="BJ223" i="1"/>
  <c r="BI223" i="1"/>
  <c r="BH223" i="1"/>
  <c r="BG223" i="1"/>
  <c r="CX223" i="1" s="1"/>
  <c r="BF223" i="1"/>
  <c r="BE223" i="1"/>
  <c r="BD223" i="1"/>
  <c r="BC223" i="1"/>
  <c r="BB223" i="1"/>
  <c r="BA223" i="1"/>
  <c r="CW223" i="1" s="1"/>
  <c r="AZ223" i="1"/>
  <c r="AY223" i="1"/>
  <c r="AX223" i="1"/>
  <c r="AW223" i="1"/>
  <c r="AV223" i="1"/>
  <c r="AU223" i="1"/>
  <c r="CV223" i="1" s="1"/>
  <c r="AT223" i="1"/>
  <c r="AS223" i="1"/>
  <c r="AR223" i="1"/>
  <c r="AQ223" i="1"/>
  <c r="AP223" i="1"/>
  <c r="AO223" i="1"/>
  <c r="CU223" i="1" s="1"/>
  <c r="AN223" i="1"/>
  <c r="AM223" i="1"/>
  <c r="AL223" i="1"/>
  <c r="AK223" i="1"/>
  <c r="AJ223" i="1"/>
  <c r="AH223" i="1"/>
  <c r="AG223" i="1"/>
  <c r="AF223" i="1"/>
  <c r="AE223" i="1"/>
  <c r="AD223" i="1"/>
  <c r="AB223" i="1"/>
  <c r="AA223" i="1"/>
  <c r="Z223" i="1"/>
  <c r="Y223" i="1"/>
  <c r="X223" i="1"/>
  <c r="V223" i="1"/>
  <c r="U223" i="1"/>
  <c r="T223" i="1"/>
  <c r="S223" i="1"/>
  <c r="R223" i="1"/>
  <c r="O223" i="1"/>
  <c r="O225" i="1" s="1"/>
  <c r="O247" i="1" s="1"/>
  <c r="Q247" i="1" s="1"/>
  <c r="N223" i="1"/>
  <c r="N225" i="1" s="1"/>
  <c r="N246" i="1" s="1"/>
  <c r="M223" i="1"/>
  <c r="M225" i="1" s="1"/>
  <c r="M245" i="1" s="1"/>
  <c r="E223" i="1"/>
  <c r="DC222" i="1"/>
  <c r="DB222" i="1"/>
  <c r="DA222" i="1"/>
  <c r="CZ222" i="1"/>
  <c r="CY222" i="1"/>
  <c r="CX222" i="1"/>
  <c r="CW222" i="1"/>
  <c r="CV222" i="1"/>
  <c r="CU222" i="1"/>
  <c r="CP222" i="1"/>
  <c r="CO222" i="1"/>
  <c r="CN222" i="1"/>
  <c r="CM222" i="1"/>
  <c r="CL222" i="1"/>
  <c r="AI222" i="1"/>
  <c r="CT222" i="1" s="1"/>
  <c r="AC222" i="1"/>
  <c r="CS222" i="1" s="1"/>
  <c r="W222" i="1"/>
  <c r="CR222" i="1" s="1"/>
  <c r="L223" i="1"/>
  <c r="L225" i="1" s="1"/>
  <c r="L244" i="1" s="1"/>
  <c r="E222" i="1"/>
  <c r="DC221" i="1"/>
  <c r="DB221" i="1"/>
  <c r="DA221" i="1"/>
  <c r="CZ221" i="1"/>
  <c r="CY221" i="1"/>
  <c r="CX221" i="1"/>
  <c r="CW221" i="1"/>
  <c r="CV221" i="1"/>
  <c r="CU221" i="1"/>
  <c r="CP221" i="1"/>
  <c r="CO221" i="1"/>
  <c r="CN221" i="1"/>
  <c r="CM221" i="1"/>
  <c r="CL221" i="1"/>
  <c r="AI221" i="1"/>
  <c r="CT221" i="1" s="1"/>
  <c r="AC221" i="1"/>
  <c r="CS221" i="1" s="1"/>
  <c r="W221" i="1"/>
  <c r="CR221" i="1" s="1"/>
  <c r="Q221" i="1"/>
  <c r="E221" i="1"/>
  <c r="DC220" i="1"/>
  <c r="DB220" i="1"/>
  <c r="DA220" i="1"/>
  <c r="CZ220" i="1"/>
  <c r="CY220" i="1"/>
  <c r="CX220" i="1"/>
  <c r="CW220" i="1"/>
  <c r="CV220" i="1"/>
  <c r="CU220" i="1"/>
  <c r="CP220" i="1"/>
  <c r="CO220" i="1"/>
  <c r="CN220" i="1"/>
  <c r="CM220" i="1"/>
  <c r="CL220" i="1"/>
  <c r="AI220" i="1"/>
  <c r="AC220" i="1"/>
  <c r="CS220" i="1" s="1"/>
  <c r="W220" i="1"/>
  <c r="Q220" i="1"/>
  <c r="E220" i="1"/>
  <c r="CP219" i="1"/>
  <c r="CO219" i="1"/>
  <c r="CN219" i="1"/>
  <c r="CM219" i="1"/>
  <c r="CL219" i="1"/>
  <c r="CK219" i="1"/>
  <c r="DC219" i="1" s="1"/>
  <c r="CE219" i="1"/>
  <c r="DB219" i="1" s="1"/>
  <c r="BY219" i="1"/>
  <c r="DA219" i="1" s="1"/>
  <c r="BS219" i="1"/>
  <c r="CZ219" i="1" s="1"/>
  <c r="BM219" i="1"/>
  <c r="CY219" i="1" s="1"/>
  <c r="BG219" i="1"/>
  <c r="CX219" i="1" s="1"/>
  <c r="BA219" i="1"/>
  <c r="CW219" i="1" s="1"/>
  <c r="AU219" i="1"/>
  <c r="CV219" i="1" s="1"/>
  <c r="AO219" i="1"/>
  <c r="CU219" i="1" s="1"/>
  <c r="AI219" i="1"/>
  <c r="CT219" i="1" s="1"/>
  <c r="AC219" i="1"/>
  <c r="CS219" i="1" s="1"/>
  <c r="W219" i="1"/>
  <c r="CR219" i="1" s="1"/>
  <c r="Q219" i="1"/>
  <c r="E219" i="1"/>
  <c r="E217" i="1"/>
  <c r="CK212" i="1"/>
  <c r="DC212" i="1" s="1"/>
  <c r="CJ212" i="1"/>
  <c r="CI212" i="1"/>
  <c r="CH212" i="1"/>
  <c r="CG212" i="1"/>
  <c r="CF212" i="1"/>
  <c r="CE212" i="1"/>
  <c r="DB212" i="1" s="1"/>
  <c r="CD212" i="1"/>
  <c r="CC212" i="1"/>
  <c r="CB212" i="1"/>
  <c r="CA212" i="1"/>
  <c r="BZ212" i="1"/>
  <c r="BY212" i="1"/>
  <c r="DA212" i="1" s="1"/>
  <c r="BX212" i="1"/>
  <c r="BW212" i="1"/>
  <c r="BV212" i="1"/>
  <c r="BU212" i="1"/>
  <c r="BT212" i="1"/>
  <c r="BS212" i="1"/>
  <c r="CZ212" i="1" s="1"/>
  <c r="BR212" i="1"/>
  <c r="BQ212" i="1"/>
  <c r="BP212" i="1"/>
  <c r="BO212" i="1"/>
  <c r="BN212" i="1"/>
  <c r="BM212" i="1"/>
  <c r="CY212" i="1" s="1"/>
  <c r="BL212" i="1"/>
  <c r="BK212" i="1"/>
  <c r="BJ212" i="1"/>
  <c r="BI212" i="1"/>
  <c r="BH212" i="1"/>
  <c r="BG212" i="1"/>
  <c r="CX212" i="1" s="1"/>
  <c r="BF212" i="1"/>
  <c r="BE212" i="1"/>
  <c r="BD212" i="1"/>
  <c r="BC212" i="1"/>
  <c r="BB212" i="1"/>
  <c r="BA212" i="1"/>
  <c r="CW212" i="1" s="1"/>
  <c r="AZ212" i="1"/>
  <c r="AY212" i="1"/>
  <c r="AX212" i="1"/>
  <c r="AW212" i="1"/>
  <c r="AV212" i="1"/>
  <c r="AU212" i="1"/>
  <c r="CV212" i="1" s="1"/>
  <c r="AT212" i="1"/>
  <c r="AS212" i="1"/>
  <c r="AR212" i="1"/>
  <c r="AQ212" i="1"/>
  <c r="AP212" i="1"/>
  <c r="AO212" i="1"/>
  <c r="CU212" i="1" s="1"/>
  <c r="AN212" i="1"/>
  <c r="AM212" i="1"/>
  <c r="AL212" i="1"/>
  <c r="AK212" i="1"/>
  <c r="AJ212" i="1"/>
  <c r="AH212" i="1"/>
  <c r="AG212" i="1"/>
  <c r="AF212" i="1"/>
  <c r="AE212" i="1"/>
  <c r="AD212" i="1"/>
  <c r="AB212" i="1"/>
  <c r="AA212" i="1"/>
  <c r="Z212" i="1"/>
  <c r="Y212" i="1"/>
  <c r="X212" i="1"/>
  <c r="V212" i="1"/>
  <c r="U212" i="1"/>
  <c r="T212" i="1"/>
  <c r="S212" i="1"/>
  <c r="R212" i="1"/>
  <c r="P212" i="1"/>
  <c r="O212" i="1"/>
  <c r="N212" i="1"/>
  <c r="M212" i="1"/>
  <c r="L212" i="1"/>
  <c r="DC211" i="1"/>
  <c r="DB211" i="1"/>
  <c r="DA211" i="1"/>
  <c r="CZ211" i="1"/>
  <c r="CY211" i="1"/>
  <c r="CX211" i="1"/>
  <c r="CW211" i="1"/>
  <c r="CV211" i="1"/>
  <c r="CU211" i="1"/>
  <c r="CP211" i="1"/>
  <c r="CO211" i="1"/>
  <c r="CN211" i="1"/>
  <c r="CM211" i="1"/>
  <c r="CL211" i="1"/>
  <c r="AI211" i="1"/>
  <c r="CT211" i="1" s="1"/>
  <c r="AC211" i="1"/>
  <c r="CS211" i="1" s="1"/>
  <c r="W211" i="1"/>
  <c r="CR211" i="1" s="1"/>
  <c r="Q211" i="1"/>
  <c r="E211" i="1"/>
  <c r="DC210" i="1"/>
  <c r="DB210" i="1"/>
  <c r="DA210" i="1"/>
  <c r="CZ210" i="1"/>
  <c r="CY210" i="1"/>
  <c r="CX210" i="1"/>
  <c r="CW210" i="1"/>
  <c r="CV210" i="1"/>
  <c r="CU210" i="1"/>
  <c r="CP210" i="1"/>
  <c r="CO210" i="1"/>
  <c r="CN210" i="1"/>
  <c r="CM210" i="1"/>
  <c r="CL210" i="1"/>
  <c r="AI210" i="1"/>
  <c r="CT210" i="1" s="1"/>
  <c r="AC210" i="1"/>
  <c r="CS210" i="1" s="1"/>
  <c r="W210" i="1"/>
  <c r="Q210" i="1"/>
  <c r="E210" i="1"/>
  <c r="DC209" i="1"/>
  <c r="DB209" i="1"/>
  <c r="DA209" i="1"/>
  <c r="CZ209" i="1"/>
  <c r="CY209" i="1"/>
  <c r="CX209" i="1"/>
  <c r="CW209" i="1"/>
  <c r="CV209" i="1"/>
  <c r="CU209" i="1"/>
  <c r="CP209" i="1"/>
  <c r="CO209" i="1"/>
  <c r="CN209" i="1"/>
  <c r="CM209" i="1"/>
  <c r="CL209" i="1"/>
  <c r="AI209" i="1"/>
  <c r="CT209" i="1" s="1"/>
  <c r="AC209" i="1"/>
  <c r="W209" i="1"/>
  <c r="Q209" i="1"/>
  <c r="E209" i="1"/>
  <c r="E206" i="1"/>
  <c r="CP205" i="1"/>
  <c r="CO205" i="1"/>
  <c r="CN205" i="1"/>
  <c r="CM205" i="1"/>
  <c r="CL205" i="1"/>
  <c r="CK205" i="1"/>
  <c r="DC205" i="1" s="1"/>
  <c r="CE205" i="1"/>
  <c r="DB205" i="1" s="1"/>
  <c r="BY205" i="1"/>
  <c r="DA205" i="1" s="1"/>
  <c r="BS205" i="1"/>
  <c r="CZ205" i="1" s="1"/>
  <c r="BM205" i="1"/>
  <c r="CY205" i="1" s="1"/>
  <c r="BG205" i="1"/>
  <c r="CX205" i="1" s="1"/>
  <c r="BA205" i="1"/>
  <c r="CW205" i="1" s="1"/>
  <c r="AU205" i="1"/>
  <c r="CV205" i="1" s="1"/>
  <c r="AO205" i="1"/>
  <c r="CU205" i="1" s="1"/>
  <c r="AI205" i="1"/>
  <c r="CT205" i="1" s="1"/>
  <c r="AC205" i="1"/>
  <c r="CS205" i="1" s="1"/>
  <c r="W205" i="1"/>
  <c r="CR205" i="1" s="1"/>
  <c r="Q205" i="1"/>
  <c r="E205" i="1"/>
  <c r="CP204" i="1"/>
  <c r="CO204" i="1"/>
  <c r="CN204" i="1"/>
  <c r="CM204" i="1"/>
  <c r="CL204" i="1"/>
  <c r="CK204" i="1"/>
  <c r="DC204" i="1" s="1"/>
  <c r="CE204" i="1"/>
  <c r="DB204" i="1" s="1"/>
  <c r="BY204" i="1"/>
  <c r="DA204" i="1" s="1"/>
  <c r="BS204" i="1"/>
  <c r="CZ204" i="1" s="1"/>
  <c r="BM204" i="1"/>
  <c r="CY204" i="1" s="1"/>
  <c r="BG204" i="1"/>
  <c r="CX204" i="1" s="1"/>
  <c r="BA204" i="1"/>
  <c r="CW204" i="1" s="1"/>
  <c r="AU204" i="1"/>
  <c r="CV204" i="1" s="1"/>
  <c r="AO204" i="1"/>
  <c r="CU204" i="1" s="1"/>
  <c r="AI204" i="1"/>
  <c r="CT204" i="1" s="1"/>
  <c r="AC204" i="1"/>
  <c r="CS204" i="1" s="1"/>
  <c r="W204" i="1"/>
  <c r="CR204" i="1" s="1"/>
  <c r="Q204" i="1"/>
  <c r="E204" i="1"/>
  <c r="CJ203" i="1"/>
  <c r="CI203" i="1"/>
  <c r="CH203" i="1"/>
  <c r="CG203" i="1"/>
  <c r="CF203" i="1"/>
  <c r="CD203" i="1"/>
  <c r="CC203" i="1"/>
  <c r="CB203" i="1"/>
  <c r="CA203" i="1"/>
  <c r="BZ203" i="1"/>
  <c r="BX203" i="1"/>
  <c r="BW203" i="1"/>
  <c r="BV203" i="1"/>
  <c r="BU203" i="1"/>
  <c r="BT203" i="1"/>
  <c r="BR203" i="1"/>
  <c r="BQ203" i="1"/>
  <c r="BP203" i="1"/>
  <c r="BO203" i="1"/>
  <c r="BN203" i="1"/>
  <c r="BL203" i="1"/>
  <c r="BK203" i="1"/>
  <c r="BJ203" i="1"/>
  <c r="BI203" i="1"/>
  <c r="BH203" i="1"/>
  <c r="BF203" i="1"/>
  <c r="BE203" i="1"/>
  <c r="BD203" i="1"/>
  <c r="BC203" i="1"/>
  <c r="BB203" i="1"/>
  <c r="AZ203" i="1"/>
  <c r="AY203" i="1"/>
  <c r="AX203" i="1"/>
  <c r="AW203" i="1"/>
  <c r="AV203" i="1"/>
  <c r="AT203" i="1"/>
  <c r="AS203" i="1"/>
  <c r="AR203" i="1"/>
  <c r="AQ203" i="1"/>
  <c r="AP203" i="1"/>
  <c r="AN203" i="1"/>
  <c r="AM203" i="1"/>
  <c r="AL203" i="1"/>
  <c r="AK203" i="1"/>
  <c r="AJ203" i="1"/>
  <c r="AH203" i="1"/>
  <c r="AG203" i="1"/>
  <c r="AF203" i="1"/>
  <c r="AE203" i="1"/>
  <c r="AD203" i="1"/>
  <c r="AB203" i="1"/>
  <c r="AA203" i="1"/>
  <c r="Z203" i="1"/>
  <c r="Y203" i="1"/>
  <c r="X203" i="1"/>
  <c r="V203" i="1"/>
  <c r="U203" i="1"/>
  <c r="T203" i="1"/>
  <c r="S203" i="1"/>
  <c r="R203" i="1"/>
  <c r="P203" i="1"/>
  <c r="O203" i="1"/>
  <c r="N203" i="1"/>
  <c r="M203" i="1"/>
  <c r="L203" i="1"/>
  <c r="E203" i="1"/>
  <c r="CP202" i="1"/>
  <c r="CO202" i="1"/>
  <c r="CN202" i="1"/>
  <c r="CM202" i="1"/>
  <c r="CL202" i="1"/>
  <c r="CK202" i="1"/>
  <c r="DC202" i="1" s="1"/>
  <c r="CE202" i="1"/>
  <c r="DB202" i="1" s="1"/>
  <c r="BY202" i="1"/>
  <c r="DA202" i="1" s="1"/>
  <c r="BS202" i="1"/>
  <c r="CZ202" i="1" s="1"/>
  <c r="BM202" i="1"/>
  <c r="CY202" i="1" s="1"/>
  <c r="BG202" i="1"/>
  <c r="CX202" i="1" s="1"/>
  <c r="BA202" i="1"/>
  <c r="CW202" i="1" s="1"/>
  <c r="AU202" i="1"/>
  <c r="CV202" i="1" s="1"/>
  <c r="AO202" i="1"/>
  <c r="CU202" i="1" s="1"/>
  <c r="AI202" i="1"/>
  <c r="CT202" i="1" s="1"/>
  <c r="AC202" i="1"/>
  <c r="CS202" i="1" s="1"/>
  <c r="W202" i="1"/>
  <c r="CR202" i="1" s="1"/>
  <c r="Q202" i="1"/>
  <c r="E202" i="1"/>
  <c r="CP201" i="1"/>
  <c r="CO201" i="1"/>
  <c r="CN201" i="1"/>
  <c r="CM201" i="1"/>
  <c r="CL201" i="1"/>
  <c r="CK201" i="1"/>
  <c r="DC201" i="1" s="1"/>
  <c r="CE201" i="1"/>
  <c r="DB201" i="1" s="1"/>
  <c r="BY201" i="1"/>
  <c r="DA201" i="1" s="1"/>
  <c r="BS201" i="1"/>
  <c r="CZ201" i="1" s="1"/>
  <c r="BM201" i="1"/>
  <c r="CY201" i="1" s="1"/>
  <c r="BG201" i="1"/>
  <c r="CX201" i="1" s="1"/>
  <c r="BA201" i="1"/>
  <c r="CW201" i="1" s="1"/>
  <c r="AU201" i="1"/>
  <c r="CV201" i="1" s="1"/>
  <c r="AO201" i="1"/>
  <c r="CU201" i="1" s="1"/>
  <c r="AI201" i="1"/>
  <c r="CT201" i="1" s="1"/>
  <c r="AC201" i="1"/>
  <c r="CS201" i="1" s="1"/>
  <c r="W201" i="1"/>
  <c r="CR201" i="1" s="1"/>
  <c r="Q201" i="1"/>
  <c r="E201" i="1"/>
  <c r="CP200" i="1"/>
  <c r="CO200" i="1"/>
  <c r="CN200" i="1"/>
  <c r="CM200" i="1"/>
  <c r="CL200" i="1"/>
  <c r="CK200" i="1"/>
  <c r="DC200" i="1" s="1"/>
  <c r="CE200" i="1"/>
  <c r="DB200" i="1" s="1"/>
  <c r="BY200" i="1"/>
  <c r="DA200" i="1" s="1"/>
  <c r="BS200" i="1"/>
  <c r="CZ200" i="1" s="1"/>
  <c r="BM200" i="1"/>
  <c r="CY200" i="1" s="1"/>
  <c r="BG200" i="1"/>
  <c r="CX200" i="1" s="1"/>
  <c r="BA200" i="1"/>
  <c r="CW200" i="1" s="1"/>
  <c r="AU200" i="1"/>
  <c r="CV200" i="1" s="1"/>
  <c r="AO200" i="1"/>
  <c r="CU200" i="1" s="1"/>
  <c r="AI200" i="1"/>
  <c r="CT200" i="1" s="1"/>
  <c r="AC200" i="1"/>
  <c r="CS200" i="1" s="1"/>
  <c r="W200" i="1"/>
  <c r="CR200" i="1" s="1"/>
  <c r="Q200" i="1"/>
  <c r="E200" i="1"/>
  <c r="CP199" i="1"/>
  <c r="CO199" i="1"/>
  <c r="CN199" i="1"/>
  <c r="CM199" i="1"/>
  <c r="CL199" i="1"/>
  <c r="CK199" i="1"/>
  <c r="DC199" i="1" s="1"/>
  <c r="CE199" i="1"/>
  <c r="DB199" i="1" s="1"/>
  <c r="BY199" i="1"/>
  <c r="BS199" i="1"/>
  <c r="CZ199" i="1" s="1"/>
  <c r="BM199" i="1"/>
  <c r="BG199" i="1"/>
  <c r="CX199" i="1" s="1"/>
  <c r="BA199" i="1"/>
  <c r="AU199" i="1"/>
  <c r="CV199" i="1" s="1"/>
  <c r="AO199" i="1"/>
  <c r="CU199" i="1" s="1"/>
  <c r="AI199" i="1"/>
  <c r="CT199" i="1" s="1"/>
  <c r="AC199" i="1"/>
  <c r="W199" i="1"/>
  <c r="CR199" i="1" s="1"/>
  <c r="Q199" i="1"/>
  <c r="E199" i="1"/>
  <c r="CJ198" i="1"/>
  <c r="CI198" i="1"/>
  <c r="CH198" i="1"/>
  <c r="CG198" i="1"/>
  <c r="CF198" i="1"/>
  <c r="CD198" i="1"/>
  <c r="CC198" i="1"/>
  <c r="CB198" i="1"/>
  <c r="CA198" i="1"/>
  <c r="BZ198" i="1"/>
  <c r="BX198" i="1"/>
  <c r="BW198" i="1"/>
  <c r="BV198" i="1"/>
  <c r="BU198" i="1"/>
  <c r="BT198" i="1"/>
  <c r="BR198" i="1"/>
  <c r="BQ198" i="1"/>
  <c r="BP198" i="1"/>
  <c r="BO198" i="1"/>
  <c r="BN198" i="1"/>
  <c r="BL198" i="1"/>
  <c r="BK198" i="1"/>
  <c r="BJ198" i="1"/>
  <c r="BI198" i="1"/>
  <c r="BH198" i="1"/>
  <c r="BF198" i="1"/>
  <c r="BE198" i="1"/>
  <c r="BD198" i="1"/>
  <c r="BC198" i="1"/>
  <c r="BB198" i="1"/>
  <c r="AZ198" i="1"/>
  <c r="AY198" i="1"/>
  <c r="AX198" i="1"/>
  <c r="AW198" i="1"/>
  <c r="AV198" i="1"/>
  <c r="AT198" i="1"/>
  <c r="AS198" i="1"/>
  <c r="AR198" i="1"/>
  <c r="AQ198" i="1"/>
  <c r="AP198" i="1"/>
  <c r="AN198" i="1"/>
  <c r="AM198" i="1"/>
  <c r="AL198" i="1"/>
  <c r="AK198" i="1"/>
  <c r="AJ198" i="1"/>
  <c r="AH198" i="1"/>
  <c r="AG198" i="1"/>
  <c r="AF198" i="1"/>
  <c r="AE198" i="1"/>
  <c r="AD198" i="1"/>
  <c r="AB198" i="1"/>
  <c r="AA198" i="1"/>
  <c r="Z198" i="1"/>
  <c r="Y198" i="1"/>
  <c r="X198" i="1"/>
  <c r="V198" i="1"/>
  <c r="U198" i="1"/>
  <c r="T198" i="1"/>
  <c r="S198" i="1"/>
  <c r="R198" i="1"/>
  <c r="P198" i="1"/>
  <c r="O198" i="1"/>
  <c r="N198" i="1"/>
  <c r="M198" i="1"/>
  <c r="L198" i="1"/>
  <c r="E198" i="1"/>
  <c r="CP197" i="1"/>
  <c r="CO197" i="1"/>
  <c r="CN197" i="1"/>
  <c r="CM197" i="1"/>
  <c r="CL197" i="1"/>
  <c r="CK197" i="1"/>
  <c r="DC197" i="1" s="1"/>
  <c r="CE197" i="1"/>
  <c r="DB197" i="1" s="1"/>
  <c r="BY197" i="1"/>
  <c r="DA197" i="1" s="1"/>
  <c r="BS197" i="1"/>
  <c r="CZ197" i="1" s="1"/>
  <c r="BM197" i="1"/>
  <c r="CY197" i="1" s="1"/>
  <c r="BG197" i="1"/>
  <c r="CX197" i="1" s="1"/>
  <c r="BA197" i="1"/>
  <c r="CW197" i="1" s="1"/>
  <c r="AU197" i="1"/>
  <c r="CV197" i="1" s="1"/>
  <c r="AO197" i="1"/>
  <c r="CU197" i="1" s="1"/>
  <c r="AI197" i="1"/>
  <c r="CT197" i="1" s="1"/>
  <c r="AC197" i="1"/>
  <c r="CS197" i="1" s="1"/>
  <c r="W197" i="1"/>
  <c r="Q197" i="1"/>
  <c r="E197" i="1"/>
  <c r="CP196" i="1"/>
  <c r="CO196" i="1"/>
  <c r="CN196" i="1"/>
  <c r="CM196" i="1"/>
  <c r="CL196" i="1"/>
  <c r="CK196" i="1"/>
  <c r="CE196" i="1"/>
  <c r="BY196" i="1"/>
  <c r="BS196" i="1"/>
  <c r="CZ196" i="1" s="1"/>
  <c r="BM196" i="1"/>
  <c r="BG196" i="1"/>
  <c r="CX196" i="1" s="1"/>
  <c r="BA196" i="1"/>
  <c r="AU196" i="1"/>
  <c r="CV196" i="1" s="1"/>
  <c r="AO196" i="1"/>
  <c r="AI196" i="1"/>
  <c r="CT196" i="1" s="1"/>
  <c r="AC196" i="1"/>
  <c r="W196" i="1"/>
  <c r="Q196" i="1"/>
  <c r="E196" i="1"/>
  <c r="CJ195" i="1"/>
  <c r="CI195" i="1"/>
  <c r="CH195" i="1"/>
  <c r="CG195" i="1"/>
  <c r="CF195" i="1"/>
  <c r="CD195" i="1"/>
  <c r="CC195" i="1"/>
  <c r="CB195" i="1"/>
  <c r="CA195" i="1"/>
  <c r="BZ195" i="1"/>
  <c r="BX195" i="1"/>
  <c r="BW195" i="1"/>
  <c r="BV195" i="1"/>
  <c r="BU195" i="1"/>
  <c r="BT195" i="1"/>
  <c r="BR195" i="1"/>
  <c r="BQ195" i="1"/>
  <c r="BP195" i="1"/>
  <c r="BO195" i="1"/>
  <c r="BN195" i="1"/>
  <c r="BL195" i="1"/>
  <c r="BK195" i="1"/>
  <c r="BJ195" i="1"/>
  <c r="BI195" i="1"/>
  <c r="BH195" i="1"/>
  <c r="BF195" i="1"/>
  <c r="BE195" i="1"/>
  <c r="BD195" i="1"/>
  <c r="BC195" i="1"/>
  <c r="BB195" i="1"/>
  <c r="AZ195" i="1"/>
  <c r="AY195" i="1"/>
  <c r="AX195" i="1"/>
  <c r="AW195" i="1"/>
  <c r="AV195" i="1"/>
  <c r="AT195" i="1"/>
  <c r="AS195" i="1"/>
  <c r="AR195" i="1"/>
  <c r="AQ195" i="1"/>
  <c r="AP195" i="1"/>
  <c r="AN195" i="1"/>
  <c r="AM195" i="1"/>
  <c r="AL195" i="1"/>
  <c r="AK195" i="1"/>
  <c r="AJ195" i="1"/>
  <c r="AH195" i="1"/>
  <c r="AG195" i="1"/>
  <c r="AF195" i="1"/>
  <c r="AE195" i="1"/>
  <c r="AD195" i="1"/>
  <c r="AB195" i="1"/>
  <c r="AA195" i="1"/>
  <c r="Z195" i="1"/>
  <c r="Y195" i="1"/>
  <c r="X195" i="1"/>
  <c r="V195" i="1"/>
  <c r="U195" i="1"/>
  <c r="T195" i="1"/>
  <c r="S195" i="1"/>
  <c r="R195" i="1"/>
  <c r="P195" i="1"/>
  <c r="O195" i="1"/>
  <c r="N195" i="1"/>
  <c r="M195" i="1"/>
  <c r="L195" i="1"/>
  <c r="E195" i="1"/>
  <c r="CP194" i="1"/>
  <c r="CO194" i="1"/>
  <c r="CN194" i="1"/>
  <c r="CM194" i="1"/>
  <c r="CL194" i="1"/>
  <c r="CK194" i="1"/>
  <c r="DC194" i="1" s="1"/>
  <c r="CE194" i="1"/>
  <c r="DB194" i="1" s="1"/>
  <c r="BY194" i="1"/>
  <c r="DA194" i="1" s="1"/>
  <c r="BS194" i="1"/>
  <c r="CZ194" i="1" s="1"/>
  <c r="BM194" i="1"/>
  <c r="CY194" i="1" s="1"/>
  <c r="BG194" i="1"/>
  <c r="CX194" i="1" s="1"/>
  <c r="BA194" i="1"/>
  <c r="CW194" i="1" s="1"/>
  <c r="AU194" i="1"/>
  <c r="CV194" i="1" s="1"/>
  <c r="AO194" i="1"/>
  <c r="CU194" i="1" s="1"/>
  <c r="AI194" i="1"/>
  <c r="CT194" i="1" s="1"/>
  <c r="AC194" i="1"/>
  <c r="CS194" i="1" s="1"/>
  <c r="W194" i="1"/>
  <c r="Q194" i="1"/>
  <c r="E194" i="1"/>
  <c r="CP193" i="1"/>
  <c r="CO193" i="1"/>
  <c r="CN193" i="1"/>
  <c r="CM193" i="1"/>
  <c r="CL193" i="1"/>
  <c r="CK193" i="1"/>
  <c r="DC193" i="1" s="1"/>
  <c r="CE193" i="1"/>
  <c r="BY193" i="1"/>
  <c r="DA193" i="1" s="1"/>
  <c r="BS193" i="1"/>
  <c r="CZ193" i="1" s="1"/>
  <c r="BM193" i="1"/>
  <c r="CY193" i="1" s="1"/>
  <c r="BG193" i="1"/>
  <c r="BA193" i="1"/>
  <c r="AU193" i="1"/>
  <c r="AO193" i="1"/>
  <c r="CU193" i="1" s="1"/>
  <c r="AI193" i="1"/>
  <c r="AC193" i="1"/>
  <c r="W193" i="1"/>
  <c r="CR193" i="1" s="1"/>
  <c r="Q193" i="1"/>
  <c r="E193" i="1"/>
  <c r="CJ190" i="1"/>
  <c r="CI190" i="1"/>
  <c r="CH190" i="1"/>
  <c r="CG190" i="1"/>
  <c r="CF190" i="1"/>
  <c r="CD190" i="1"/>
  <c r="CC190" i="1"/>
  <c r="CB190" i="1"/>
  <c r="CA190" i="1"/>
  <c r="BZ190" i="1"/>
  <c r="BX190" i="1"/>
  <c r="BW190" i="1"/>
  <c r="BV190" i="1"/>
  <c r="BU190" i="1"/>
  <c r="BT190" i="1"/>
  <c r="BR190" i="1"/>
  <c r="BQ190" i="1"/>
  <c r="BP190" i="1"/>
  <c r="BO190" i="1"/>
  <c r="BN190" i="1"/>
  <c r="BL190" i="1"/>
  <c r="BK190" i="1"/>
  <c r="BJ190" i="1"/>
  <c r="BI190" i="1"/>
  <c r="BH190" i="1"/>
  <c r="BF190" i="1"/>
  <c r="BE190" i="1"/>
  <c r="BD190" i="1"/>
  <c r="BC190" i="1"/>
  <c r="BB190" i="1"/>
  <c r="AZ190" i="1"/>
  <c r="AY190" i="1"/>
  <c r="AX190" i="1"/>
  <c r="AW190" i="1"/>
  <c r="AV190" i="1"/>
  <c r="AT190" i="1"/>
  <c r="AS190" i="1"/>
  <c r="AR190" i="1"/>
  <c r="AQ190" i="1"/>
  <c r="AP190" i="1"/>
  <c r="AN190" i="1"/>
  <c r="AM190" i="1"/>
  <c r="AL190" i="1"/>
  <c r="AK190" i="1"/>
  <c r="AJ190" i="1"/>
  <c r="AH190" i="1"/>
  <c r="AG190" i="1"/>
  <c r="AF190" i="1"/>
  <c r="AE190" i="1"/>
  <c r="AD190" i="1"/>
  <c r="AB190" i="1"/>
  <c r="AA190" i="1"/>
  <c r="Z190" i="1"/>
  <c r="Y190" i="1"/>
  <c r="X190" i="1"/>
  <c r="V190" i="1"/>
  <c r="U190" i="1"/>
  <c r="T190" i="1"/>
  <c r="S190" i="1"/>
  <c r="R190" i="1"/>
  <c r="P190" i="1"/>
  <c r="O190" i="1"/>
  <c r="N190" i="1"/>
  <c r="M190" i="1"/>
  <c r="L190" i="1"/>
  <c r="E190" i="1"/>
  <c r="CP189" i="1"/>
  <c r="CO189" i="1"/>
  <c r="CN189" i="1"/>
  <c r="CM189" i="1"/>
  <c r="CL189" i="1"/>
  <c r="CK189" i="1"/>
  <c r="DC189" i="1" s="1"/>
  <c r="CE189" i="1"/>
  <c r="DB189" i="1" s="1"/>
  <c r="BY189" i="1"/>
  <c r="DA189" i="1" s="1"/>
  <c r="BS189" i="1"/>
  <c r="BM189" i="1"/>
  <c r="CY189" i="1" s="1"/>
  <c r="BG189" i="1"/>
  <c r="CX189" i="1" s="1"/>
  <c r="BA189" i="1"/>
  <c r="CW189" i="1" s="1"/>
  <c r="AU189" i="1"/>
  <c r="CV189" i="1" s="1"/>
  <c r="AO189" i="1"/>
  <c r="CU189" i="1" s="1"/>
  <c r="AI189" i="1"/>
  <c r="CT189" i="1" s="1"/>
  <c r="AC189" i="1"/>
  <c r="CS189" i="1" s="1"/>
  <c r="W189" i="1"/>
  <c r="Q189" i="1"/>
  <c r="E189" i="1"/>
  <c r="CP188" i="1"/>
  <c r="CO188" i="1"/>
  <c r="CN188" i="1"/>
  <c r="CM188" i="1"/>
  <c r="CL188" i="1"/>
  <c r="CK188" i="1"/>
  <c r="DC188" i="1" s="1"/>
  <c r="CE188" i="1"/>
  <c r="BY188" i="1"/>
  <c r="DA188" i="1" s="1"/>
  <c r="BS188" i="1"/>
  <c r="CZ188" i="1" s="1"/>
  <c r="BM188" i="1"/>
  <c r="CY188" i="1" s="1"/>
  <c r="BG188" i="1"/>
  <c r="BA188" i="1"/>
  <c r="CW188" i="1" s="1"/>
  <c r="AU188" i="1"/>
  <c r="CV188" i="1" s="1"/>
  <c r="AO188" i="1"/>
  <c r="CU188" i="1" s="1"/>
  <c r="AI188" i="1"/>
  <c r="AC188" i="1"/>
  <c r="W188" i="1"/>
  <c r="CR188" i="1" s="1"/>
  <c r="Q188" i="1"/>
  <c r="E188" i="1"/>
  <c r="CP187" i="1"/>
  <c r="CO187" i="1"/>
  <c r="CN187" i="1"/>
  <c r="CM187" i="1"/>
  <c r="CL187" i="1"/>
  <c r="CK187" i="1"/>
  <c r="DC187" i="1" s="1"/>
  <c r="CE187" i="1"/>
  <c r="DB187" i="1" s="1"/>
  <c r="BY187" i="1"/>
  <c r="BS187" i="1"/>
  <c r="CZ187" i="1" s="1"/>
  <c r="BM187" i="1"/>
  <c r="BG187" i="1"/>
  <c r="CX187" i="1" s="1"/>
  <c r="BA187" i="1"/>
  <c r="AU187" i="1"/>
  <c r="CV187" i="1" s="1"/>
  <c r="AO187" i="1"/>
  <c r="CU187" i="1" s="1"/>
  <c r="AI187" i="1"/>
  <c r="CT187" i="1" s="1"/>
  <c r="AC187" i="1"/>
  <c r="W187" i="1"/>
  <c r="CR187" i="1" s="1"/>
  <c r="Q187" i="1"/>
  <c r="E187" i="1"/>
  <c r="E184" i="1"/>
  <c r="CP182" i="1"/>
  <c r="CO182" i="1"/>
  <c r="CN182" i="1"/>
  <c r="CM182" i="1"/>
  <c r="CL182" i="1"/>
  <c r="CK182" i="1"/>
  <c r="DC182" i="1" s="1"/>
  <c r="CE182" i="1"/>
  <c r="DB182" i="1" s="1"/>
  <c r="BY182" i="1"/>
  <c r="DA182" i="1" s="1"/>
  <c r="BS182" i="1"/>
  <c r="CZ182" i="1" s="1"/>
  <c r="BM182" i="1"/>
  <c r="CY182" i="1" s="1"/>
  <c r="BG182" i="1"/>
  <c r="CX182" i="1" s="1"/>
  <c r="BA182" i="1"/>
  <c r="CW182" i="1" s="1"/>
  <c r="AU182" i="1"/>
  <c r="CV182" i="1" s="1"/>
  <c r="AO182" i="1"/>
  <c r="CU182" i="1" s="1"/>
  <c r="AI182" i="1"/>
  <c r="CT182" i="1" s="1"/>
  <c r="AC182" i="1"/>
  <c r="W182" i="1"/>
  <c r="CR182" i="1" s="1"/>
  <c r="Q182" i="1"/>
  <c r="CP181" i="1"/>
  <c r="CO181" i="1"/>
  <c r="CN181" i="1"/>
  <c r="CM181" i="1"/>
  <c r="CL181" i="1"/>
  <c r="CK181" i="1"/>
  <c r="DC181" i="1" s="1"/>
  <c r="CE181" i="1"/>
  <c r="DB181" i="1" s="1"/>
  <c r="BY181" i="1"/>
  <c r="DA181" i="1" s="1"/>
  <c r="BS181" i="1"/>
  <c r="CZ181" i="1" s="1"/>
  <c r="BM181" i="1"/>
  <c r="CY181" i="1" s="1"/>
  <c r="BG181" i="1"/>
  <c r="CX181" i="1" s="1"/>
  <c r="BA181" i="1"/>
  <c r="CW181" i="1" s="1"/>
  <c r="AU181" i="1"/>
  <c r="CV181" i="1" s="1"/>
  <c r="AO181" i="1"/>
  <c r="CU181" i="1" s="1"/>
  <c r="AI181" i="1"/>
  <c r="CT181" i="1" s="1"/>
  <c r="AC181" i="1"/>
  <c r="CS181" i="1" s="1"/>
  <c r="W181" i="1"/>
  <c r="CR181" i="1" s="1"/>
  <c r="Q181" i="1"/>
  <c r="E181" i="1"/>
  <c r="E179" i="1"/>
  <c r="CP178" i="1"/>
  <c r="CO178" i="1"/>
  <c r="CN178" i="1"/>
  <c r="CM178" i="1"/>
  <c r="CL178" i="1"/>
  <c r="CK178" i="1"/>
  <c r="DC178" i="1" s="1"/>
  <c r="CE178" i="1"/>
  <c r="DB178" i="1" s="1"/>
  <c r="BY178" i="1"/>
  <c r="BS178" i="1"/>
  <c r="BM178" i="1"/>
  <c r="CY178" i="1" s="1"/>
  <c r="BG178" i="1"/>
  <c r="CX178" i="1" s="1"/>
  <c r="BA178" i="1"/>
  <c r="AU178" i="1"/>
  <c r="AO178" i="1"/>
  <c r="CU178" i="1" s="1"/>
  <c r="AI178" i="1"/>
  <c r="CT178" i="1" s="1"/>
  <c r="AC178" i="1"/>
  <c r="W178" i="1"/>
  <c r="Q178" i="1"/>
  <c r="E178" i="1"/>
  <c r="CJ177" i="1"/>
  <c r="CI177" i="1"/>
  <c r="CH177" i="1"/>
  <c r="CG177" i="1"/>
  <c r="CF177" i="1"/>
  <c r="CD177" i="1"/>
  <c r="CC177" i="1"/>
  <c r="CB177" i="1"/>
  <c r="CA177" i="1"/>
  <c r="BZ177" i="1"/>
  <c r="BX177" i="1"/>
  <c r="BW177" i="1"/>
  <c r="BV177" i="1"/>
  <c r="BU177" i="1"/>
  <c r="BT177" i="1"/>
  <c r="BR177" i="1"/>
  <c r="BQ177" i="1"/>
  <c r="BP177" i="1"/>
  <c r="BO177" i="1"/>
  <c r="BN177" i="1"/>
  <c r="BL177" i="1"/>
  <c r="BK177" i="1"/>
  <c r="BJ177" i="1"/>
  <c r="BI177" i="1"/>
  <c r="BH177" i="1"/>
  <c r="BF177" i="1"/>
  <c r="BE177" i="1"/>
  <c r="BD177" i="1"/>
  <c r="BC177" i="1"/>
  <c r="BB177" i="1"/>
  <c r="AZ177" i="1"/>
  <c r="AY177" i="1"/>
  <c r="AX177" i="1"/>
  <c r="AW177" i="1"/>
  <c r="AV177" i="1"/>
  <c r="AT177" i="1"/>
  <c r="AS177" i="1"/>
  <c r="AR177" i="1"/>
  <c r="AQ177" i="1"/>
  <c r="AP177" i="1"/>
  <c r="AN177" i="1"/>
  <c r="AM177" i="1"/>
  <c r="AL177" i="1"/>
  <c r="AK177" i="1"/>
  <c r="AJ177" i="1"/>
  <c r="AH177" i="1"/>
  <c r="AG177" i="1"/>
  <c r="AF177" i="1"/>
  <c r="AE177" i="1"/>
  <c r="AD177" i="1"/>
  <c r="AB177" i="1"/>
  <c r="AA177" i="1"/>
  <c r="Z177" i="1"/>
  <c r="Y177" i="1"/>
  <c r="X177" i="1"/>
  <c r="V177" i="1"/>
  <c r="U177" i="1"/>
  <c r="T177" i="1"/>
  <c r="S177" i="1"/>
  <c r="R177" i="1"/>
  <c r="P177" i="1"/>
  <c r="O177" i="1"/>
  <c r="N177" i="1"/>
  <c r="M177" i="1"/>
  <c r="L177" i="1"/>
  <c r="E177" i="1"/>
  <c r="CP176" i="1"/>
  <c r="CO176" i="1"/>
  <c r="CN176" i="1"/>
  <c r="CM176" i="1"/>
  <c r="CL176" i="1"/>
  <c r="CK176" i="1"/>
  <c r="DC176" i="1" s="1"/>
  <c r="CE176" i="1"/>
  <c r="DB176" i="1" s="1"/>
  <c r="BY176" i="1"/>
  <c r="DA176" i="1" s="1"/>
  <c r="BS176" i="1"/>
  <c r="CZ176" i="1" s="1"/>
  <c r="BM176" i="1"/>
  <c r="CY176" i="1" s="1"/>
  <c r="BG176" i="1"/>
  <c r="CX176" i="1" s="1"/>
  <c r="BA176" i="1"/>
  <c r="CW176" i="1" s="1"/>
  <c r="AU176" i="1"/>
  <c r="CV176" i="1" s="1"/>
  <c r="AO176" i="1"/>
  <c r="CU176" i="1" s="1"/>
  <c r="AI176" i="1"/>
  <c r="CT176" i="1" s="1"/>
  <c r="AC176" i="1"/>
  <c r="CS176" i="1" s="1"/>
  <c r="W176" i="1"/>
  <c r="Q176" i="1"/>
  <c r="E176" i="1"/>
  <c r="CP175" i="1"/>
  <c r="CO175" i="1"/>
  <c r="CN175" i="1"/>
  <c r="CM175" i="1"/>
  <c r="CL175" i="1"/>
  <c r="CK175" i="1"/>
  <c r="DC175" i="1" s="1"/>
  <c r="CE175" i="1"/>
  <c r="DB175" i="1" s="1"/>
  <c r="BY175" i="1"/>
  <c r="DA175" i="1" s="1"/>
  <c r="BS175" i="1"/>
  <c r="CZ175" i="1" s="1"/>
  <c r="BM175" i="1"/>
  <c r="CY175" i="1" s="1"/>
  <c r="BG175" i="1"/>
  <c r="CX175" i="1" s="1"/>
  <c r="BA175" i="1"/>
  <c r="CW175" i="1" s="1"/>
  <c r="AU175" i="1"/>
  <c r="CV175" i="1" s="1"/>
  <c r="AO175" i="1"/>
  <c r="CU175" i="1" s="1"/>
  <c r="AI175" i="1"/>
  <c r="CT175" i="1" s="1"/>
  <c r="AC175" i="1"/>
  <c r="CS175" i="1" s="1"/>
  <c r="W175" i="1"/>
  <c r="Q175" i="1"/>
  <c r="E175" i="1"/>
  <c r="CP174" i="1"/>
  <c r="CO174" i="1"/>
  <c r="CN174" i="1"/>
  <c r="CM174" i="1"/>
  <c r="CL174" i="1"/>
  <c r="CK174" i="1"/>
  <c r="DC174" i="1" s="1"/>
  <c r="CE174" i="1"/>
  <c r="DB174" i="1" s="1"/>
  <c r="BY174" i="1"/>
  <c r="DA174" i="1" s="1"/>
  <c r="BS174" i="1"/>
  <c r="CZ174" i="1" s="1"/>
  <c r="BM174" i="1"/>
  <c r="CY174" i="1" s="1"/>
  <c r="BG174" i="1"/>
  <c r="CX174" i="1" s="1"/>
  <c r="BA174" i="1"/>
  <c r="CW174" i="1" s="1"/>
  <c r="AU174" i="1"/>
  <c r="CV174" i="1" s="1"/>
  <c r="AO174" i="1"/>
  <c r="CU174" i="1" s="1"/>
  <c r="AI174" i="1"/>
  <c r="CT174" i="1" s="1"/>
  <c r="AC174" i="1"/>
  <c r="CS174" i="1" s="1"/>
  <c r="W174" i="1"/>
  <c r="Q174" i="1"/>
  <c r="E174" i="1"/>
  <c r="CP173" i="1"/>
  <c r="CO173" i="1"/>
  <c r="CN173" i="1"/>
  <c r="CM173" i="1"/>
  <c r="CL173" i="1"/>
  <c r="CK173" i="1"/>
  <c r="DC173" i="1" s="1"/>
  <c r="CE173" i="1"/>
  <c r="DB173" i="1" s="1"/>
  <c r="BY173" i="1"/>
  <c r="DA173" i="1" s="1"/>
  <c r="BS173" i="1"/>
  <c r="CZ173" i="1" s="1"/>
  <c r="BM173" i="1"/>
  <c r="CY173" i="1" s="1"/>
  <c r="BG173" i="1"/>
  <c r="CX173" i="1" s="1"/>
  <c r="BA173" i="1"/>
  <c r="CW173" i="1" s="1"/>
  <c r="AU173" i="1"/>
  <c r="CV173" i="1" s="1"/>
  <c r="AO173" i="1"/>
  <c r="CU173" i="1" s="1"/>
  <c r="AI173" i="1"/>
  <c r="CT173" i="1" s="1"/>
  <c r="AC173" i="1"/>
  <c r="CS173" i="1" s="1"/>
  <c r="W173" i="1"/>
  <c r="Q173" i="1"/>
  <c r="E173" i="1"/>
  <c r="CP172" i="1"/>
  <c r="CO172" i="1"/>
  <c r="CN172" i="1"/>
  <c r="CM172" i="1"/>
  <c r="CL172" i="1"/>
  <c r="CK172" i="1"/>
  <c r="CE172" i="1"/>
  <c r="BY172" i="1"/>
  <c r="BS172" i="1"/>
  <c r="BM172" i="1"/>
  <c r="BG172" i="1"/>
  <c r="BA172" i="1"/>
  <c r="AU172" i="1"/>
  <c r="AO172" i="1"/>
  <c r="AI172" i="1"/>
  <c r="CT172" i="1" s="1"/>
  <c r="AC172" i="1"/>
  <c r="W172" i="1"/>
  <c r="Q172" i="1"/>
  <c r="E172" i="1"/>
  <c r="CJ171" i="1"/>
  <c r="CI171" i="1"/>
  <c r="CH171" i="1"/>
  <c r="CG171" i="1"/>
  <c r="CF171" i="1"/>
  <c r="CD171" i="1"/>
  <c r="CC171" i="1"/>
  <c r="CB171" i="1"/>
  <c r="CA171" i="1"/>
  <c r="BZ171" i="1"/>
  <c r="BX171" i="1"/>
  <c r="BW171" i="1"/>
  <c r="BV171" i="1"/>
  <c r="BU171" i="1"/>
  <c r="BT171" i="1"/>
  <c r="BR171" i="1"/>
  <c r="BQ171" i="1"/>
  <c r="BP171" i="1"/>
  <c r="BO171" i="1"/>
  <c r="BN171" i="1"/>
  <c r="BL171" i="1"/>
  <c r="BK171" i="1"/>
  <c r="BJ171" i="1"/>
  <c r="BI171" i="1"/>
  <c r="BH171" i="1"/>
  <c r="BF171" i="1"/>
  <c r="BE171" i="1"/>
  <c r="BD171" i="1"/>
  <c r="BC171" i="1"/>
  <c r="BB171" i="1"/>
  <c r="AZ171" i="1"/>
  <c r="AY171" i="1"/>
  <c r="AX171" i="1"/>
  <c r="AW171" i="1"/>
  <c r="AV171" i="1"/>
  <c r="AT171" i="1"/>
  <c r="AS171" i="1"/>
  <c r="AR171" i="1"/>
  <c r="AQ171" i="1"/>
  <c r="AP171" i="1"/>
  <c r="AN171" i="1"/>
  <c r="AM171" i="1"/>
  <c r="AL171" i="1"/>
  <c r="AK171" i="1"/>
  <c r="AJ171" i="1"/>
  <c r="AH171" i="1"/>
  <c r="AG171" i="1"/>
  <c r="AF171" i="1"/>
  <c r="AE171" i="1"/>
  <c r="AD171" i="1"/>
  <c r="AB171" i="1"/>
  <c r="AA171" i="1"/>
  <c r="Z171" i="1"/>
  <c r="Y171" i="1"/>
  <c r="X171" i="1"/>
  <c r="V171" i="1"/>
  <c r="U171" i="1"/>
  <c r="T171" i="1"/>
  <c r="S171" i="1"/>
  <c r="R171" i="1"/>
  <c r="P171" i="1"/>
  <c r="O171" i="1"/>
  <c r="N171" i="1"/>
  <c r="M171" i="1"/>
  <c r="L171" i="1"/>
  <c r="E171" i="1"/>
  <c r="CP170" i="1"/>
  <c r="CO170" i="1"/>
  <c r="CN170" i="1"/>
  <c r="CM170" i="1"/>
  <c r="CL170" i="1"/>
  <c r="CK170" i="1"/>
  <c r="DC170" i="1" s="1"/>
  <c r="CE170" i="1"/>
  <c r="DB170" i="1" s="1"/>
  <c r="BY170" i="1"/>
  <c r="DA170" i="1" s="1"/>
  <c r="BS170" i="1"/>
  <c r="CZ170" i="1" s="1"/>
  <c r="BM170" i="1"/>
  <c r="CY170" i="1" s="1"/>
  <c r="BG170" i="1"/>
  <c r="CX170" i="1" s="1"/>
  <c r="BA170" i="1"/>
  <c r="CW170" i="1" s="1"/>
  <c r="AU170" i="1"/>
  <c r="CV170" i="1" s="1"/>
  <c r="AO170" i="1"/>
  <c r="CU170" i="1" s="1"/>
  <c r="AI170" i="1"/>
  <c r="CT170" i="1" s="1"/>
  <c r="AC170" i="1"/>
  <c r="CS170" i="1" s="1"/>
  <c r="W170" i="1"/>
  <c r="Q170" i="1"/>
  <c r="E170" i="1"/>
  <c r="CP169" i="1"/>
  <c r="CO169" i="1"/>
  <c r="CN169" i="1"/>
  <c r="CM169" i="1"/>
  <c r="CL169" i="1"/>
  <c r="CK169" i="1"/>
  <c r="CE169" i="1"/>
  <c r="BY169" i="1"/>
  <c r="BS169" i="1"/>
  <c r="BM169" i="1"/>
  <c r="BG169" i="1"/>
  <c r="BA169" i="1"/>
  <c r="AU169" i="1"/>
  <c r="AO169" i="1"/>
  <c r="AI169" i="1"/>
  <c r="AC169" i="1"/>
  <c r="W169" i="1"/>
  <c r="CR169" i="1" s="1"/>
  <c r="Q169" i="1"/>
  <c r="E169" i="1"/>
  <c r="CJ166" i="1"/>
  <c r="CI166" i="1"/>
  <c r="CH166" i="1"/>
  <c r="CG166" i="1"/>
  <c r="CF166" i="1"/>
  <c r="CD166" i="1"/>
  <c r="CC166" i="1"/>
  <c r="CB166" i="1"/>
  <c r="CA166" i="1"/>
  <c r="BZ166" i="1"/>
  <c r="BX166" i="1"/>
  <c r="BW166" i="1"/>
  <c r="BV166" i="1"/>
  <c r="BU166" i="1"/>
  <c r="BT166" i="1"/>
  <c r="BR166" i="1"/>
  <c r="BQ166" i="1"/>
  <c r="BP166" i="1"/>
  <c r="BO166" i="1"/>
  <c r="BN166" i="1"/>
  <c r="BL166" i="1"/>
  <c r="BK166" i="1"/>
  <c r="BJ166" i="1"/>
  <c r="BI166" i="1"/>
  <c r="BH166" i="1"/>
  <c r="BF166" i="1"/>
  <c r="BE166" i="1"/>
  <c r="BD166" i="1"/>
  <c r="BC166" i="1"/>
  <c r="BB166" i="1"/>
  <c r="AZ166" i="1"/>
  <c r="AY166" i="1"/>
  <c r="AX166" i="1"/>
  <c r="AW166" i="1"/>
  <c r="AV166" i="1"/>
  <c r="AT166" i="1"/>
  <c r="AS166" i="1"/>
  <c r="AR166" i="1"/>
  <c r="AQ166" i="1"/>
  <c r="AP166" i="1"/>
  <c r="AN166" i="1"/>
  <c r="AM166" i="1"/>
  <c r="AL166" i="1"/>
  <c r="AK166" i="1"/>
  <c r="AJ166" i="1"/>
  <c r="AH166" i="1"/>
  <c r="AG166" i="1"/>
  <c r="AF166" i="1"/>
  <c r="AE166" i="1"/>
  <c r="AD166" i="1"/>
  <c r="AB166" i="1"/>
  <c r="AA166" i="1"/>
  <c r="Z166" i="1"/>
  <c r="Y166" i="1"/>
  <c r="X166" i="1"/>
  <c r="V166" i="1"/>
  <c r="U166" i="1"/>
  <c r="T166" i="1"/>
  <c r="S166" i="1"/>
  <c r="R166" i="1"/>
  <c r="P166" i="1"/>
  <c r="O166" i="1"/>
  <c r="N166" i="1"/>
  <c r="M166" i="1"/>
  <c r="L166" i="1"/>
  <c r="E166" i="1"/>
  <c r="CP165" i="1"/>
  <c r="CO165" i="1"/>
  <c r="CN165" i="1"/>
  <c r="CM165" i="1"/>
  <c r="CL165" i="1"/>
  <c r="CK165" i="1"/>
  <c r="DC165" i="1" s="1"/>
  <c r="CE165" i="1"/>
  <c r="DB165" i="1" s="1"/>
  <c r="BY165" i="1"/>
  <c r="DA165" i="1" s="1"/>
  <c r="BS165" i="1"/>
  <c r="CZ165" i="1" s="1"/>
  <c r="BM165" i="1"/>
  <c r="CY165" i="1" s="1"/>
  <c r="BG165" i="1"/>
  <c r="CX165" i="1" s="1"/>
  <c r="BA165" i="1"/>
  <c r="CW165" i="1" s="1"/>
  <c r="AU165" i="1"/>
  <c r="CV165" i="1" s="1"/>
  <c r="AO165" i="1"/>
  <c r="CU165" i="1" s="1"/>
  <c r="AI165" i="1"/>
  <c r="CT165" i="1" s="1"/>
  <c r="AC165" i="1"/>
  <c r="CS165" i="1" s="1"/>
  <c r="W165" i="1"/>
  <c r="Q165" i="1"/>
  <c r="E165" i="1"/>
  <c r="CP164" i="1"/>
  <c r="CO164" i="1"/>
  <c r="CN164" i="1"/>
  <c r="CM164" i="1"/>
  <c r="CL164" i="1"/>
  <c r="CK164" i="1"/>
  <c r="DC164" i="1" s="1"/>
  <c r="CE164" i="1"/>
  <c r="DB164" i="1" s="1"/>
  <c r="BY164" i="1"/>
  <c r="DA164" i="1" s="1"/>
  <c r="BS164" i="1"/>
  <c r="CZ164" i="1" s="1"/>
  <c r="BM164" i="1"/>
  <c r="CY164" i="1" s="1"/>
  <c r="BG164" i="1"/>
  <c r="CX164" i="1" s="1"/>
  <c r="BA164" i="1"/>
  <c r="CW164" i="1" s="1"/>
  <c r="AU164" i="1"/>
  <c r="CV164" i="1" s="1"/>
  <c r="AO164" i="1"/>
  <c r="CU164" i="1" s="1"/>
  <c r="AI164" i="1"/>
  <c r="CT164" i="1" s="1"/>
  <c r="AC164" i="1"/>
  <c r="CS164" i="1" s="1"/>
  <c r="W164" i="1"/>
  <c r="CR164" i="1" s="1"/>
  <c r="Q164" i="1"/>
  <c r="E164" i="1"/>
  <c r="CP163" i="1"/>
  <c r="CO163" i="1"/>
  <c r="CN163" i="1"/>
  <c r="CM163" i="1"/>
  <c r="CL163" i="1"/>
  <c r="CK163" i="1"/>
  <c r="DC163" i="1" s="1"/>
  <c r="CE163" i="1"/>
  <c r="DB163" i="1" s="1"/>
  <c r="BY163" i="1"/>
  <c r="DA163" i="1" s="1"/>
  <c r="BS163" i="1"/>
  <c r="CZ163" i="1" s="1"/>
  <c r="BM163" i="1"/>
  <c r="CY163" i="1" s="1"/>
  <c r="BG163" i="1"/>
  <c r="CX163" i="1" s="1"/>
  <c r="BA163" i="1"/>
  <c r="CW163" i="1" s="1"/>
  <c r="AU163" i="1"/>
  <c r="CV163" i="1" s="1"/>
  <c r="AO163" i="1"/>
  <c r="CU163" i="1" s="1"/>
  <c r="AI163" i="1"/>
  <c r="CT163" i="1" s="1"/>
  <c r="AC163" i="1"/>
  <c r="W163" i="1"/>
  <c r="CR163" i="1" s="1"/>
  <c r="Q163" i="1"/>
  <c r="E163" i="1"/>
  <c r="CP162" i="1"/>
  <c r="CO162" i="1"/>
  <c r="CN162" i="1"/>
  <c r="CM162" i="1"/>
  <c r="CL162" i="1"/>
  <c r="CK162" i="1"/>
  <c r="DC162" i="1" s="1"/>
  <c r="CE162" i="1"/>
  <c r="DB162" i="1" s="1"/>
  <c r="BY162" i="1"/>
  <c r="DA162" i="1" s="1"/>
  <c r="BS162" i="1"/>
  <c r="CZ162" i="1" s="1"/>
  <c r="BM162" i="1"/>
  <c r="CY162" i="1" s="1"/>
  <c r="BG162" i="1"/>
  <c r="CX162" i="1" s="1"/>
  <c r="BA162" i="1"/>
  <c r="CW162" i="1" s="1"/>
  <c r="AU162" i="1"/>
  <c r="CV162" i="1" s="1"/>
  <c r="AO162" i="1"/>
  <c r="CU162" i="1" s="1"/>
  <c r="AI162" i="1"/>
  <c r="CT162" i="1" s="1"/>
  <c r="AC162" i="1"/>
  <c r="CS162" i="1" s="1"/>
  <c r="W162" i="1"/>
  <c r="CR162" i="1" s="1"/>
  <c r="Q162" i="1"/>
  <c r="E162" i="1"/>
  <c r="CP161" i="1"/>
  <c r="CO161" i="1"/>
  <c r="CN161" i="1"/>
  <c r="CM161" i="1"/>
  <c r="CL161" i="1"/>
  <c r="CK161" i="1"/>
  <c r="DC161" i="1" s="1"/>
  <c r="CE161" i="1"/>
  <c r="DB161" i="1" s="1"/>
  <c r="BY161" i="1"/>
  <c r="DA161" i="1" s="1"/>
  <c r="BS161" i="1"/>
  <c r="CZ161" i="1" s="1"/>
  <c r="BM161" i="1"/>
  <c r="CY161" i="1" s="1"/>
  <c r="BG161" i="1"/>
  <c r="CX161" i="1" s="1"/>
  <c r="BA161" i="1"/>
  <c r="CW161" i="1" s="1"/>
  <c r="AU161" i="1"/>
  <c r="CV161" i="1" s="1"/>
  <c r="AO161" i="1"/>
  <c r="CU161" i="1" s="1"/>
  <c r="AI161" i="1"/>
  <c r="CT161" i="1" s="1"/>
  <c r="AC161" i="1"/>
  <c r="CS161" i="1" s="1"/>
  <c r="W161" i="1"/>
  <c r="Q161" i="1"/>
  <c r="E161" i="1"/>
  <c r="CP160" i="1"/>
  <c r="CO160" i="1"/>
  <c r="CN160" i="1"/>
  <c r="CM160" i="1"/>
  <c r="CL160" i="1"/>
  <c r="CK160" i="1"/>
  <c r="DC160" i="1" s="1"/>
  <c r="CE160" i="1"/>
  <c r="DB160" i="1" s="1"/>
  <c r="BY160" i="1"/>
  <c r="DA160" i="1" s="1"/>
  <c r="BS160" i="1"/>
  <c r="CZ160" i="1" s="1"/>
  <c r="BM160" i="1"/>
  <c r="CY160" i="1" s="1"/>
  <c r="BG160" i="1"/>
  <c r="CX160" i="1" s="1"/>
  <c r="BA160" i="1"/>
  <c r="CW160" i="1" s="1"/>
  <c r="AU160" i="1"/>
  <c r="CV160" i="1" s="1"/>
  <c r="AO160" i="1"/>
  <c r="CU160" i="1" s="1"/>
  <c r="AI160" i="1"/>
  <c r="CT160" i="1" s="1"/>
  <c r="AC160" i="1"/>
  <c r="CS160" i="1" s="1"/>
  <c r="W160" i="1"/>
  <c r="CR160" i="1" s="1"/>
  <c r="Q160" i="1"/>
  <c r="E160" i="1"/>
  <c r="CP159" i="1"/>
  <c r="CO159" i="1"/>
  <c r="CN159" i="1"/>
  <c r="CM159" i="1"/>
  <c r="CL159" i="1"/>
  <c r="CK159" i="1"/>
  <c r="DC159" i="1" s="1"/>
  <c r="CE159" i="1"/>
  <c r="DB159" i="1" s="1"/>
  <c r="BY159" i="1"/>
  <c r="DA159" i="1" s="1"/>
  <c r="BS159" i="1"/>
  <c r="CZ159" i="1" s="1"/>
  <c r="BM159" i="1"/>
  <c r="CY159" i="1" s="1"/>
  <c r="BG159" i="1"/>
  <c r="CX159" i="1" s="1"/>
  <c r="BA159" i="1"/>
  <c r="CW159" i="1" s="1"/>
  <c r="AU159" i="1"/>
  <c r="CV159" i="1" s="1"/>
  <c r="AO159" i="1"/>
  <c r="CU159" i="1" s="1"/>
  <c r="AI159" i="1"/>
  <c r="CT159" i="1" s="1"/>
  <c r="AC159" i="1"/>
  <c r="CS159" i="1" s="1"/>
  <c r="W159" i="1"/>
  <c r="CR159" i="1" s="1"/>
  <c r="Q159" i="1"/>
  <c r="E159" i="1"/>
  <c r="CP158" i="1"/>
  <c r="CO158" i="1"/>
  <c r="CN158" i="1"/>
  <c r="CM158" i="1"/>
  <c r="CL158" i="1"/>
  <c r="CK158" i="1"/>
  <c r="DC158" i="1" s="1"/>
  <c r="CE158" i="1"/>
  <c r="DB158" i="1" s="1"/>
  <c r="BY158" i="1"/>
  <c r="DA158" i="1" s="1"/>
  <c r="BS158" i="1"/>
  <c r="CZ158" i="1" s="1"/>
  <c r="BM158" i="1"/>
  <c r="CY158" i="1" s="1"/>
  <c r="BG158" i="1"/>
  <c r="CX158" i="1" s="1"/>
  <c r="BA158" i="1"/>
  <c r="CW158" i="1" s="1"/>
  <c r="AU158" i="1"/>
  <c r="CV158" i="1" s="1"/>
  <c r="AO158" i="1"/>
  <c r="CU158" i="1" s="1"/>
  <c r="AI158" i="1"/>
  <c r="CT158" i="1" s="1"/>
  <c r="AC158" i="1"/>
  <c r="CS158" i="1" s="1"/>
  <c r="W158" i="1"/>
  <c r="CR158" i="1" s="1"/>
  <c r="Q158" i="1"/>
  <c r="E158" i="1"/>
  <c r="CP157" i="1"/>
  <c r="CO157" i="1"/>
  <c r="CN157" i="1"/>
  <c r="CM157" i="1"/>
  <c r="CL157" i="1"/>
  <c r="CK157" i="1"/>
  <c r="CE157" i="1"/>
  <c r="DB157" i="1" s="1"/>
  <c r="BY157" i="1"/>
  <c r="DA157" i="1" s="1"/>
  <c r="BS157" i="1"/>
  <c r="CZ157" i="1" s="1"/>
  <c r="BM157" i="1"/>
  <c r="BG157" i="1"/>
  <c r="CX157" i="1" s="1"/>
  <c r="BA157" i="1"/>
  <c r="CW157" i="1" s="1"/>
  <c r="AU157" i="1"/>
  <c r="CV157" i="1" s="1"/>
  <c r="AO157" i="1"/>
  <c r="AI157" i="1"/>
  <c r="CT157" i="1" s="1"/>
  <c r="AC157" i="1"/>
  <c r="CS157" i="1" s="1"/>
  <c r="W157" i="1"/>
  <c r="Q157" i="1"/>
  <c r="E157" i="1"/>
  <c r="CP154" i="1"/>
  <c r="CO154" i="1"/>
  <c r="CN154" i="1"/>
  <c r="CM154" i="1"/>
  <c r="CL154" i="1"/>
  <c r="CK154" i="1"/>
  <c r="DC154" i="1" s="1"/>
  <c r="CE154" i="1"/>
  <c r="DB154" i="1" s="1"/>
  <c r="BY154" i="1"/>
  <c r="DA154" i="1" s="1"/>
  <c r="BS154" i="1"/>
  <c r="CZ154" i="1" s="1"/>
  <c r="BM154" i="1"/>
  <c r="CY154" i="1" s="1"/>
  <c r="BG154" i="1"/>
  <c r="CX154" i="1" s="1"/>
  <c r="BA154" i="1"/>
  <c r="CW154" i="1" s="1"/>
  <c r="AU154" i="1"/>
  <c r="CV154" i="1" s="1"/>
  <c r="AO154" i="1"/>
  <c r="CU154" i="1" s="1"/>
  <c r="AI154" i="1"/>
  <c r="CT154" i="1" s="1"/>
  <c r="AC154" i="1"/>
  <c r="CS154" i="1" s="1"/>
  <c r="W154" i="1"/>
  <c r="CR154" i="1" s="1"/>
  <c r="Q154" i="1"/>
  <c r="E154" i="1"/>
  <c r="CP153" i="1"/>
  <c r="CO153" i="1"/>
  <c r="CN153" i="1"/>
  <c r="CK153" i="1"/>
  <c r="CE153" i="1"/>
  <c r="DB153" i="1" s="1"/>
  <c r="BY153" i="1"/>
  <c r="DA153" i="1" s="1"/>
  <c r="BS153" i="1"/>
  <c r="BM153" i="1"/>
  <c r="CY153" i="1" s="1"/>
  <c r="BG153" i="1"/>
  <c r="CX153" i="1" s="1"/>
  <c r="BA153" i="1"/>
  <c r="AU153" i="1"/>
  <c r="AO153" i="1"/>
  <c r="AI153" i="1"/>
  <c r="CT153" i="1" s="1"/>
  <c r="Q153" i="1"/>
  <c r="E153" i="1"/>
  <c r="P150" i="1"/>
  <c r="O150" i="1"/>
  <c r="N150" i="1"/>
  <c r="M150" i="1"/>
  <c r="L150" i="1"/>
  <c r="E150" i="1"/>
  <c r="CP148" i="1"/>
  <c r="CO148" i="1"/>
  <c r="CN148" i="1"/>
  <c r="CM148" i="1"/>
  <c r="CL148" i="1"/>
  <c r="CK148" i="1"/>
  <c r="DC148" i="1" s="1"/>
  <c r="CE148" i="1"/>
  <c r="DB148" i="1" s="1"/>
  <c r="BY148" i="1"/>
  <c r="DA148" i="1" s="1"/>
  <c r="BS148" i="1"/>
  <c r="CZ148" i="1" s="1"/>
  <c r="BM148" i="1"/>
  <c r="CY148" i="1" s="1"/>
  <c r="BG148" i="1"/>
  <c r="CX148" i="1" s="1"/>
  <c r="BA148" i="1"/>
  <c r="CW148" i="1" s="1"/>
  <c r="AU148" i="1"/>
  <c r="CV148" i="1" s="1"/>
  <c r="AO148" i="1"/>
  <c r="CU148" i="1" s="1"/>
  <c r="AI148" i="1"/>
  <c r="CT148" i="1" s="1"/>
  <c r="AC148" i="1"/>
  <c r="CS148" i="1" s="1"/>
  <c r="W148" i="1"/>
  <c r="Q148" i="1"/>
  <c r="CP147" i="1"/>
  <c r="CO147" i="1"/>
  <c r="CN147" i="1"/>
  <c r="CM147" i="1"/>
  <c r="CL147" i="1"/>
  <c r="CK147" i="1"/>
  <c r="DC147" i="1" s="1"/>
  <c r="CE147" i="1"/>
  <c r="DB147" i="1" s="1"/>
  <c r="BY147" i="1"/>
  <c r="DA147" i="1" s="1"/>
  <c r="BS147" i="1"/>
  <c r="CZ147" i="1" s="1"/>
  <c r="BM147" i="1"/>
  <c r="CY147" i="1" s="1"/>
  <c r="BG147" i="1"/>
  <c r="CX147" i="1" s="1"/>
  <c r="BA147" i="1"/>
  <c r="CW147" i="1" s="1"/>
  <c r="AU147" i="1"/>
  <c r="CV147" i="1" s="1"/>
  <c r="AO147" i="1"/>
  <c r="CU147" i="1" s="1"/>
  <c r="AI147" i="1"/>
  <c r="CT147" i="1" s="1"/>
  <c r="AC147" i="1"/>
  <c r="CS147" i="1" s="1"/>
  <c r="W147" i="1"/>
  <c r="Q147" i="1"/>
  <c r="CP146" i="1"/>
  <c r="CO146" i="1"/>
  <c r="CN146" i="1"/>
  <c r="CM146" i="1"/>
  <c r="CL146" i="1"/>
  <c r="CK146" i="1"/>
  <c r="DC146" i="1" s="1"/>
  <c r="CE146" i="1"/>
  <c r="DB146" i="1" s="1"/>
  <c r="BY146" i="1"/>
  <c r="DA146" i="1" s="1"/>
  <c r="BS146" i="1"/>
  <c r="CZ146" i="1" s="1"/>
  <c r="BM146" i="1"/>
  <c r="CY146" i="1" s="1"/>
  <c r="BG146" i="1"/>
  <c r="CX146" i="1" s="1"/>
  <c r="BA146" i="1"/>
  <c r="CW146" i="1" s="1"/>
  <c r="AU146" i="1"/>
  <c r="CV146" i="1" s="1"/>
  <c r="AO146" i="1"/>
  <c r="CU146" i="1" s="1"/>
  <c r="AI146" i="1"/>
  <c r="CT146" i="1" s="1"/>
  <c r="AC146" i="1"/>
  <c r="CS146" i="1" s="1"/>
  <c r="W146" i="1"/>
  <c r="Q146" i="1"/>
  <c r="CP145" i="1"/>
  <c r="CO145" i="1"/>
  <c r="CN145" i="1"/>
  <c r="CM145" i="1"/>
  <c r="CL145" i="1"/>
  <c r="CK145" i="1"/>
  <c r="DC145" i="1" s="1"/>
  <c r="CE145" i="1"/>
  <c r="DB145" i="1" s="1"/>
  <c r="BY145" i="1"/>
  <c r="DA145" i="1" s="1"/>
  <c r="BS145" i="1"/>
  <c r="CZ145" i="1" s="1"/>
  <c r="BM145" i="1"/>
  <c r="CY145" i="1" s="1"/>
  <c r="BG145" i="1"/>
  <c r="CX145" i="1" s="1"/>
  <c r="BA145" i="1"/>
  <c r="CW145" i="1" s="1"/>
  <c r="AU145" i="1"/>
  <c r="CV145" i="1" s="1"/>
  <c r="AO145" i="1"/>
  <c r="CU145" i="1" s="1"/>
  <c r="AI145" i="1"/>
  <c r="CT145" i="1" s="1"/>
  <c r="AC145" i="1"/>
  <c r="CS145" i="1" s="1"/>
  <c r="W145" i="1"/>
  <c r="Q145" i="1"/>
  <c r="CP144" i="1"/>
  <c r="CO144" i="1"/>
  <c r="CN144" i="1"/>
  <c r="CM144" i="1"/>
  <c r="CL144" i="1"/>
  <c r="CK144" i="1"/>
  <c r="DC144" i="1" s="1"/>
  <c r="CE144" i="1"/>
  <c r="DB144" i="1" s="1"/>
  <c r="BY144" i="1"/>
  <c r="DA144" i="1" s="1"/>
  <c r="BS144" i="1"/>
  <c r="CZ144" i="1" s="1"/>
  <c r="BM144" i="1"/>
  <c r="CY144" i="1" s="1"/>
  <c r="BG144" i="1"/>
  <c r="CX144" i="1" s="1"/>
  <c r="BA144" i="1"/>
  <c r="CW144" i="1" s="1"/>
  <c r="AU144" i="1"/>
  <c r="CV144" i="1" s="1"/>
  <c r="AO144" i="1"/>
  <c r="CU144" i="1" s="1"/>
  <c r="AI144" i="1"/>
  <c r="CT144" i="1" s="1"/>
  <c r="AC144" i="1"/>
  <c r="CS144" i="1" s="1"/>
  <c r="W144" i="1"/>
  <c r="Q144" i="1"/>
  <c r="CP143" i="1"/>
  <c r="CO143" i="1"/>
  <c r="CN143" i="1"/>
  <c r="CM143" i="1"/>
  <c r="CL143" i="1"/>
  <c r="CK143" i="1"/>
  <c r="DC143" i="1" s="1"/>
  <c r="CE143" i="1"/>
  <c r="DB143" i="1" s="1"/>
  <c r="BY143" i="1"/>
  <c r="DA143" i="1" s="1"/>
  <c r="BS143" i="1"/>
  <c r="BM143" i="1"/>
  <c r="CY143" i="1" s="1"/>
  <c r="BG143" i="1"/>
  <c r="CX143" i="1" s="1"/>
  <c r="BA143" i="1"/>
  <c r="CW143" i="1" s="1"/>
  <c r="AU143" i="1"/>
  <c r="AO143" i="1"/>
  <c r="CU143" i="1" s="1"/>
  <c r="AI143" i="1"/>
  <c r="CT143" i="1" s="1"/>
  <c r="AC143" i="1"/>
  <c r="CS143" i="1" s="1"/>
  <c r="W143" i="1"/>
  <c r="Q143" i="1"/>
  <c r="CJ140" i="1"/>
  <c r="CI140" i="1"/>
  <c r="CH140" i="1"/>
  <c r="CG140" i="1"/>
  <c r="CF140" i="1"/>
  <c r="CD140" i="1"/>
  <c r="CC140" i="1"/>
  <c r="CB140" i="1"/>
  <c r="CA140" i="1"/>
  <c r="BZ140" i="1"/>
  <c r="BX140" i="1"/>
  <c r="BW140" i="1"/>
  <c r="BV140" i="1"/>
  <c r="BU140" i="1"/>
  <c r="BT140" i="1"/>
  <c r="BR140" i="1"/>
  <c r="BQ140" i="1"/>
  <c r="BP140" i="1"/>
  <c r="BO140" i="1"/>
  <c r="BN140" i="1"/>
  <c r="BL140" i="1"/>
  <c r="BK140" i="1"/>
  <c r="BJ140" i="1"/>
  <c r="BI140" i="1"/>
  <c r="BH140" i="1"/>
  <c r="BF140" i="1"/>
  <c r="BE140" i="1"/>
  <c r="BD140" i="1"/>
  <c r="BC140" i="1"/>
  <c r="BB140" i="1"/>
  <c r="AZ140" i="1"/>
  <c r="AY140" i="1"/>
  <c r="AX140" i="1"/>
  <c r="AW140" i="1"/>
  <c r="AV140" i="1"/>
  <c r="AT140" i="1"/>
  <c r="AS140" i="1"/>
  <c r="AR140" i="1"/>
  <c r="AQ140" i="1"/>
  <c r="AP140" i="1"/>
  <c r="AN140" i="1"/>
  <c r="AM140" i="1"/>
  <c r="AL140" i="1"/>
  <c r="AK140" i="1"/>
  <c r="AJ140" i="1"/>
  <c r="AH140" i="1"/>
  <c r="AG140" i="1"/>
  <c r="AF140" i="1"/>
  <c r="AE140" i="1"/>
  <c r="AD140" i="1"/>
  <c r="AB140" i="1"/>
  <c r="AA140" i="1"/>
  <c r="Z140" i="1"/>
  <c r="Y140" i="1"/>
  <c r="X140" i="1"/>
  <c r="V140" i="1"/>
  <c r="U140" i="1"/>
  <c r="T140" i="1"/>
  <c r="S140" i="1"/>
  <c r="R140" i="1"/>
  <c r="P140" i="1"/>
  <c r="O140" i="1"/>
  <c r="N140" i="1"/>
  <c r="M140" i="1"/>
  <c r="L140" i="1"/>
  <c r="E140" i="1"/>
  <c r="CP139" i="1"/>
  <c r="CO139" i="1"/>
  <c r="CN139" i="1"/>
  <c r="CM139" i="1"/>
  <c r="CL139" i="1"/>
  <c r="CK139" i="1"/>
  <c r="DC139" i="1" s="1"/>
  <c r="CE139" i="1"/>
  <c r="DB139" i="1" s="1"/>
  <c r="BY139" i="1"/>
  <c r="DA139" i="1" s="1"/>
  <c r="BS139" i="1"/>
  <c r="CZ139" i="1" s="1"/>
  <c r="BM139" i="1"/>
  <c r="CY139" i="1" s="1"/>
  <c r="BG139" i="1"/>
  <c r="CX139" i="1" s="1"/>
  <c r="BA139" i="1"/>
  <c r="CW139" i="1" s="1"/>
  <c r="AU139" i="1"/>
  <c r="CV139" i="1" s="1"/>
  <c r="AO139" i="1"/>
  <c r="CU139" i="1" s="1"/>
  <c r="AI139" i="1"/>
  <c r="CT139" i="1" s="1"/>
  <c r="AC139" i="1"/>
  <c r="CS139" i="1" s="1"/>
  <c r="W139" i="1"/>
  <c r="CR139" i="1" s="1"/>
  <c r="Q139" i="1"/>
  <c r="CP138" i="1"/>
  <c r="CO138" i="1"/>
  <c r="CN138" i="1"/>
  <c r="CM138" i="1"/>
  <c r="CL138" i="1"/>
  <c r="CK138" i="1"/>
  <c r="DC138" i="1" s="1"/>
  <c r="CE138" i="1"/>
  <c r="DB138" i="1" s="1"/>
  <c r="BY138" i="1"/>
  <c r="DA138" i="1" s="1"/>
  <c r="BS138" i="1"/>
  <c r="CZ138" i="1" s="1"/>
  <c r="BM138" i="1"/>
  <c r="CY138" i="1" s="1"/>
  <c r="BG138" i="1"/>
  <c r="CX138" i="1" s="1"/>
  <c r="BA138" i="1"/>
  <c r="CW138" i="1" s="1"/>
  <c r="AU138" i="1"/>
  <c r="CV138" i="1" s="1"/>
  <c r="AO138" i="1"/>
  <c r="CU138" i="1" s="1"/>
  <c r="AI138" i="1"/>
  <c r="CT138" i="1" s="1"/>
  <c r="AC138" i="1"/>
  <c r="CS138" i="1" s="1"/>
  <c r="W138" i="1"/>
  <c r="CR138" i="1" s="1"/>
  <c r="Q138" i="1"/>
  <c r="E138" i="1"/>
  <c r="CP137" i="1"/>
  <c r="CO137" i="1"/>
  <c r="CN137" i="1"/>
  <c r="CM137" i="1"/>
  <c r="CL137" i="1"/>
  <c r="CK137" i="1"/>
  <c r="DC137" i="1" s="1"/>
  <c r="CE137" i="1"/>
  <c r="DB137" i="1" s="1"/>
  <c r="BY137" i="1"/>
  <c r="DA137" i="1" s="1"/>
  <c r="BS137" i="1"/>
  <c r="CZ137" i="1" s="1"/>
  <c r="BM137" i="1"/>
  <c r="CY137" i="1" s="1"/>
  <c r="BG137" i="1"/>
  <c r="CX137" i="1" s="1"/>
  <c r="BA137" i="1"/>
  <c r="CW137" i="1" s="1"/>
  <c r="AU137" i="1"/>
  <c r="CV137" i="1" s="1"/>
  <c r="AO137" i="1"/>
  <c r="CU137" i="1" s="1"/>
  <c r="AI137" i="1"/>
  <c r="CT137" i="1" s="1"/>
  <c r="AC137" i="1"/>
  <c r="CS137" i="1" s="1"/>
  <c r="W137" i="1"/>
  <c r="CR137" i="1" s="1"/>
  <c r="Q137" i="1"/>
  <c r="E137" i="1"/>
  <c r="CP136" i="1"/>
  <c r="CO136" i="1"/>
  <c r="CN136" i="1"/>
  <c r="CM136" i="1"/>
  <c r="CL136" i="1"/>
  <c r="CK136" i="1"/>
  <c r="DC136" i="1" s="1"/>
  <c r="CE136" i="1"/>
  <c r="DB136" i="1" s="1"/>
  <c r="BY136" i="1"/>
  <c r="DA136" i="1" s="1"/>
  <c r="BS136" i="1"/>
  <c r="CZ136" i="1" s="1"/>
  <c r="BM136" i="1"/>
  <c r="CY136" i="1" s="1"/>
  <c r="BG136" i="1"/>
  <c r="CX136" i="1" s="1"/>
  <c r="BA136" i="1"/>
  <c r="CW136" i="1" s="1"/>
  <c r="AU136" i="1"/>
  <c r="AO136" i="1"/>
  <c r="CU136" i="1" s="1"/>
  <c r="AI136" i="1"/>
  <c r="CT136" i="1" s="1"/>
  <c r="AC136" i="1"/>
  <c r="CS136" i="1" s="1"/>
  <c r="W136" i="1"/>
  <c r="CR136" i="1" s="1"/>
  <c r="Q136" i="1"/>
  <c r="E136" i="1"/>
  <c r="CP135" i="1"/>
  <c r="CO135" i="1"/>
  <c r="CN135" i="1"/>
  <c r="CM135" i="1"/>
  <c r="CL135" i="1"/>
  <c r="CK135" i="1"/>
  <c r="CE135" i="1"/>
  <c r="BY135" i="1"/>
  <c r="DA135" i="1" s="1"/>
  <c r="BS135" i="1"/>
  <c r="CZ135" i="1" s="1"/>
  <c r="BM135" i="1"/>
  <c r="BG135" i="1"/>
  <c r="BA135" i="1"/>
  <c r="CW135" i="1" s="1"/>
  <c r="AU135" i="1"/>
  <c r="CV135" i="1" s="1"/>
  <c r="AO135" i="1"/>
  <c r="AI135" i="1"/>
  <c r="AC135" i="1"/>
  <c r="W135" i="1"/>
  <c r="CR135" i="1" s="1"/>
  <c r="Q135" i="1"/>
  <c r="E135" i="1"/>
  <c r="CP133" i="1"/>
  <c r="CO133" i="1"/>
  <c r="CN133" i="1"/>
  <c r="CM133" i="1"/>
  <c r="CL133" i="1"/>
  <c r="W133" i="1"/>
  <c r="CQ133" i="1" s="1"/>
  <c r="K129" i="1"/>
  <c r="CO128" i="1"/>
  <c r="CN128" i="1"/>
  <c r="CM128" i="1"/>
  <c r="CL128" i="1"/>
  <c r="E128" i="1"/>
  <c r="CP127" i="1"/>
  <c r="CN127" i="1"/>
  <c r="CM127" i="1"/>
  <c r="CL127" i="1"/>
  <c r="E127" i="1"/>
  <c r="CP126" i="1"/>
  <c r="CO126" i="1"/>
  <c r="CM126" i="1"/>
  <c r="CL126" i="1"/>
  <c r="CP125" i="1"/>
  <c r="CO125" i="1"/>
  <c r="CN125" i="1"/>
  <c r="CL125" i="1"/>
  <c r="CP124" i="1"/>
  <c r="CO124" i="1"/>
  <c r="CN124" i="1"/>
  <c r="CM124" i="1"/>
  <c r="E124" i="1"/>
  <c r="K121" i="1"/>
  <c r="E121" i="1"/>
  <c r="CO120" i="1"/>
  <c r="CN120" i="1"/>
  <c r="CM120" i="1"/>
  <c r="CL120" i="1"/>
  <c r="E120" i="1"/>
  <c r="CP119" i="1"/>
  <c r="CN119" i="1"/>
  <c r="CM119" i="1"/>
  <c r="CL119" i="1"/>
  <c r="E119" i="1"/>
  <c r="CP118" i="1"/>
  <c r="CO118" i="1"/>
  <c r="CM118" i="1"/>
  <c r="CL118" i="1"/>
  <c r="CP117" i="1"/>
  <c r="CO117" i="1"/>
  <c r="CN117" i="1"/>
  <c r="CL117" i="1"/>
  <c r="CP116" i="1"/>
  <c r="CO116" i="1"/>
  <c r="CN116" i="1"/>
  <c r="CM116" i="1"/>
  <c r="E116" i="1"/>
  <c r="E115" i="1"/>
  <c r="K113" i="1"/>
  <c r="E113" i="1"/>
  <c r="CO112" i="1"/>
  <c r="CN112" i="1"/>
  <c r="CM112" i="1"/>
  <c r="CL112" i="1"/>
  <c r="E112" i="1"/>
  <c r="CP111" i="1"/>
  <c r="CN111" i="1"/>
  <c r="CM111" i="1"/>
  <c r="CL111" i="1"/>
  <c r="E111" i="1"/>
  <c r="CP110" i="1"/>
  <c r="CO110" i="1"/>
  <c r="CM110" i="1"/>
  <c r="CL110" i="1"/>
  <c r="CP109" i="1"/>
  <c r="CO109" i="1"/>
  <c r="CN109" i="1"/>
  <c r="CL109" i="1"/>
  <c r="CP108" i="1"/>
  <c r="CO108" i="1"/>
  <c r="CN108" i="1"/>
  <c r="CM108" i="1"/>
  <c r="E108" i="1"/>
  <c r="E107" i="1"/>
  <c r="E105" i="1"/>
  <c r="CP104" i="1"/>
  <c r="CN104" i="1"/>
  <c r="W104" i="1"/>
  <c r="CR104" i="1" s="1"/>
  <c r="DI104" i="1" s="1"/>
  <c r="Q104" i="1"/>
  <c r="E104" i="1"/>
  <c r="DC103" i="1"/>
  <c r="CJ103" i="1"/>
  <c r="CI103" i="1"/>
  <c r="CH103" i="1"/>
  <c r="CG103" i="1"/>
  <c r="CF103" i="1"/>
  <c r="DB103" i="1"/>
  <c r="CD103" i="1"/>
  <c r="CC103" i="1"/>
  <c r="CB103" i="1"/>
  <c r="CA103" i="1"/>
  <c r="BZ103" i="1"/>
  <c r="DA103" i="1"/>
  <c r="BX103" i="1"/>
  <c r="BW103" i="1"/>
  <c r="BV103" i="1"/>
  <c r="BU103" i="1"/>
  <c r="BT103" i="1"/>
  <c r="CZ103" i="1"/>
  <c r="BR103" i="1"/>
  <c r="BQ103" i="1"/>
  <c r="BP103" i="1"/>
  <c r="BO103" i="1"/>
  <c r="BN103" i="1"/>
  <c r="CY103" i="1"/>
  <c r="BL103" i="1"/>
  <c r="BK103" i="1"/>
  <c r="BJ103" i="1"/>
  <c r="BI103" i="1"/>
  <c r="BH103" i="1"/>
  <c r="CX103" i="1"/>
  <c r="BF103" i="1"/>
  <c r="BE103" i="1"/>
  <c r="BD103" i="1"/>
  <c r="BC103" i="1"/>
  <c r="BB103" i="1"/>
  <c r="CW103" i="1"/>
  <c r="AZ103" i="1"/>
  <c r="AY103" i="1"/>
  <c r="AX103" i="1"/>
  <c r="AW103" i="1"/>
  <c r="AV103" i="1"/>
  <c r="CV103" i="1"/>
  <c r="AT103" i="1"/>
  <c r="AS103" i="1"/>
  <c r="AR103" i="1"/>
  <c r="AQ103" i="1"/>
  <c r="AP103" i="1"/>
  <c r="CU103" i="1"/>
  <c r="AN103" i="1"/>
  <c r="AM103" i="1"/>
  <c r="AL103" i="1"/>
  <c r="AK103" i="1"/>
  <c r="AJ103" i="1"/>
  <c r="AH103" i="1"/>
  <c r="AG103" i="1"/>
  <c r="AF103" i="1"/>
  <c r="AE103" i="1"/>
  <c r="AD103" i="1"/>
  <c r="AB103" i="1"/>
  <c r="AA103" i="1"/>
  <c r="Z103" i="1"/>
  <c r="Y103" i="1"/>
  <c r="X103" i="1"/>
  <c r="V103" i="1"/>
  <c r="U103" i="1"/>
  <c r="T103" i="1"/>
  <c r="S103" i="1"/>
  <c r="R103" i="1"/>
  <c r="O103" i="1"/>
  <c r="O105" i="1" s="1"/>
  <c r="O127" i="1" s="1"/>
  <c r="N103" i="1"/>
  <c r="N105" i="1" s="1"/>
  <c r="N126" i="1" s="1"/>
  <c r="M103" i="1"/>
  <c r="M105" i="1" s="1"/>
  <c r="M125" i="1" s="1"/>
  <c r="K103" i="1"/>
  <c r="E103" i="1"/>
  <c r="DC102" i="1"/>
  <c r="DB102" i="1"/>
  <c r="DA102" i="1"/>
  <c r="CZ102" i="1"/>
  <c r="CY102" i="1"/>
  <c r="CX102" i="1"/>
  <c r="CW102" i="1"/>
  <c r="CV102" i="1"/>
  <c r="CU102" i="1"/>
  <c r="CP102" i="1"/>
  <c r="CO102" i="1"/>
  <c r="CN102" i="1"/>
  <c r="CM102" i="1"/>
  <c r="CL102" i="1"/>
  <c r="AI102" i="1"/>
  <c r="CT102" i="1" s="1"/>
  <c r="AC102" i="1"/>
  <c r="CS102" i="1" s="1"/>
  <c r="W102" i="1"/>
  <c r="E102" i="1"/>
  <c r="DC101" i="1"/>
  <c r="DB101" i="1"/>
  <c r="DA101" i="1"/>
  <c r="CZ101" i="1"/>
  <c r="CY101" i="1"/>
  <c r="CX101" i="1"/>
  <c r="CW101" i="1"/>
  <c r="CV101" i="1"/>
  <c r="CU101" i="1"/>
  <c r="CP101" i="1"/>
  <c r="CO101" i="1"/>
  <c r="CN101" i="1"/>
  <c r="CM101" i="1"/>
  <c r="CL101" i="1"/>
  <c r="AI101" i="1"/>
  <c r="CT101" i="1" s="1"/>
  <c r="AC101" i="1"/>
  <c r="CS101" i="1" s="1"/>
  <c r="W101" i="1"/>
  <c r="CR101" i="1" s="1"/>
  <c r="DI101" i="1" s="1"/>
  <c r="Q101" i="1"/>
  <c r="E101" i="1"/>
  <c r="DC100" i="1"/>
  <c r="DB100" i="1"/>
  <c r="DA100" i="1"/>
  <c r="CZ100" i="1"/>
  <c r="CY100" i="1"/>
  <c r="CX100" i="1"/>
  <c r="CW100" i="1"/>
  <c r="CV100" i="1"/>
  <c r="CU100" i="1"/>
  <c r="CP100" i="1"/>
  <c r="CO100" i="1"/>
  <c r="CN100" i="1"/>
  <c r="CM100" i="1"/>
  <c r="CL100" i="1"/>
  <c r="AI100" i="1"/>
  <c r="CT100" i="1" s="1"/>
  <c r="AC100" i="1"/>
  <c r="W100" i="1"/>
  <c r="Q100" i="1"/>
  <c r="E100" i="1"/>
  <c r="CP99" i="1"/>
  <c r="CO99" i="1"/>
  <c r="CN99" i="1"/>
  <c r="CL99" i="1"/>
  <c r="CU99" i="1"/>
  <c r="AI99" i="1"/>
  <c r="CT99" i="1" s="1"/>
  <c r="AC99" i="1"/>
  <c r="CS99" i="1" s="1"/>
  <c r="W99" i="1"/>
  <c r="CR99" i="1" s="1"/>
  <c r="DI99" i="1" s="1"/>
  <c r="Q99" i="1"/>
  <c r="E99" i="1"/>
  <c r="Q97" i="1"/>
  <c r="E97" i="1"/>
  <c r="CK92" i="1"/>
  <c r="DC92" i="1" s="1"/>
  <c r="CJ92" i="1"/>
  <c r="CI92" i="1"/>
  <c r="CH92" i="1"/>
  <c r="CG92" i="1"/>
  <c r="CF92" i="1"/>
  <c r="CE92" i="1"/>
  <c r="DB92" i="1" s="1"/>
  <c r="CD92" i="1"/>
  <c r="CC92" i="1"/>
  <c r="CB92" i="1"/>
  <c r="CA92" i="1"/>
  <c r="BZ92" i="1"/>
  <c r="BY92" i="1"/>
  <c r="DA92" i="1" s="1"/>
  <c r="BX92" i="1"/>
  <c r="BW92" i="1"/>
  <c r="BV92" i="1"/>
  <c r="BU92" i="1"/>
  <c r="BT92" i="1"/>
  <c r="BS92" i="1"/>
  <c r="CZ92" i="1" s="1"/>
  <c r="BR92" i="1"/>
  <c r="BQ92" i="1"/>
  <c r="BP92" i="1"/>
  <c r="BO92" i="1"/>
  <c r="BN92" i="1"/>
  <c r="BM92" i="1"/>
  <c r="CY92" i="1" s="1"/>
  <c r="BL92" i="1"/>
  <c r="BK92" i="1"/>
  <c r="BJ92" i="1"/>
  <c r="BI92" i="1"/>
  <c r="BH92" i="1"/>
  <c r="BG92" i="1"/>
  <c r="CX92" i="1" s="1"/>
  <c r="BF92" i="1"/>
  <c r="BE92" i="1"/>
  <c r="BD92" i="1"/>
  <c r="BC92" i="1"/>
  <c r="BB92" i="1"/>
  <c r="BA92" i="1"/>
  <c r="CW92" i="1" s="1"/>
  <c r="AZ92" i="1"/>
  <c r="AY92" i="1"/>
  <c r="AX92" i="1"/>
  <c r="AW92" i="1"/>
  <c r="AV92" i="1"/>
  <c r="AU92" i="1"/>
  <c r="CV92" i="1" s="1"/>
  <c r="AT92" i="1"/>
  <c r="AS92" i="1"/>
  <c r="AR92" i="1"/>
  <c r="AQ92" i="1"/>
  <c r="AP92" i="1"/>
  <c r="AO92" i="1"/>
  <c r="CU92" i="1" s="1"/>
  <c r="AN92" i="1"/>
  <c r="AM92" i="1"/>
  <c r="AL92" i="1"/>
  <c r="AK92" i="1"/>
  <c r="AJ92" i="1"/>
  <c r="AH92" i="1"/>
  <c r="AG92" i="1"/>
  <c r="AF92" i="1"/>
  <c r="AE92" i="1"/>
  <c r="AD92" i="1"/>
  <c r="AB92" i="1"/>
  <c r="AA92" i="1"/>
  <c r="Z92" i="1"/>
  <c r="Y92" i="1"/>
  <c r="X92" i="1"/>
  <c r="V92" i="1"/>
  <c r="U92" i="1"/>
  <c r="T92" i="1"/>
  <c r="S92" i="1"/>
  <c r="R92" i="1"/>
  <c r="P92" i="1"/>
  <c r="O92" i="1"/>
  <c r="N92" i="1"/>
  <c r="M92" i="1"/>
  <c r="L92" i="1"/>
  <c r="K92" i="1"/>
  <c r="DC91" i="1"/>
  <c r="DB91" i="1"/>
  <c r="DA91" i="1"/>
  <c r="CZ91" i="1"/>
  <c r="CY91" i="1"/>
  <c r="CX91" i="1"/>
  <c r="CW91" i="1"/>
  <c r="CV91" i="1"/>
  <c r="CU91" i="1"/>
  <c r="CP91" i="1"/>
  <c r="CO91" i="1"/>
  <c r="CN91" i="1"/>
  <c r="CM91" i="1"/>
  <c r="CL91" i="1"/>
  <c r="AI91" i="1"/>
  <c r="CT91" i="1" s="1"/>
  <c r="AC91" i="1"/>
  <c r="CS91" i="1" s="1"/>
  <c r="W91" i="1"/>
  <c r="CR91" i="1" s="1"/>
  <c r="DI91" i="1" s="1"/>
  <c r="Q91" i="1"/>
  <c r="E91" i="1"/>
  <c r="DC90" i="1"/>
  <c r="DB90" i="1"/>
  <c r="DA90" i="1"/>
  <c r="CZ90" i="1"/>
  <c r="CY90" i="1"/>
  <c r="CX90" i="1"/>
  <c r="CW90" i="1"/>
  <c r="CV90" i="1"/>
  <c r="CU90" i="1"/>
  <c r="CP90" i="1"/>
  <c r="CO90" i="1"/>
  <c r="CN90" i="1"/>
  <c r="CM90" i="1"/>
  <c r="CL90" i="1"/>
  <c r="AI90" i="1"/>
  <c r="CT90" i="1" s="1"/>
  <c r="AC90" i="1"/>
  <c r="CS90" i="1" s="1"/>
  <c r="W90" i="1"/>
  <c r="CR90" i="1" s="1"/>
  <c r="DI90" i="1" s="1"/>
  <c r="Q90" i="1"/>
  <c r="E90" i="1"/>
  <c r="DC89" i="1"/>
  <c r="DB89" i="1"/>
  <c r="DA89" i="1"/>
  <c r="CZ89" i="1"/>
  <c r="CY89" i="1"/>
  <c r="CX89" i="1"/>
  <c r="CW89" i="1"/>
  <c r="CV89" i="1"/>
  <c r="CU89" i="1"/>
  <c r="CP89" i="1"/>
  <c r="CO89" i="1"/>
  <c r="CN89" i="1"/>
  <c r="CM89" i="1"/>
  <c r="CL89" i="1"/>
  <c r="AI89" i="1"/>
  <c r="CT89" i="1" s="1"/>
  <c r="AC89" i="1"/>
  <c r="W89" i="1"/>
  <c r="CR89" i="1" s="1"/>
  <c r="DI89" i="1" s="1"/>
  <c r="Q89" i="1"/>
  <c r="E89" i="1"/>
  <c r="E86" i="1"/>
  <c r="CP85" i="1"/>
  <c r="CO85" i="1"/>
  <c r="CN85" i="1"/>
  <c r="CM85" i="1"/>
  <c r="CL85" i="1"/>
  <c r="CK85" i="1"/>
  <c r="DC85" i="1" s="1"/>
  <c r="CE85" i="1"/>
  <c r="DB85" i="1" s="1"/>
  <c r="BY85" i="1"/>
  <c r="DA85" i="1" s="1"/>
  <c r="BS85" i="1"/>
  <c r="CZ85" i="1" s="1"/>
  <c r="BM85" i="1"/>
  <c r="CY85" i="1" s="1"/>
  <c r="BG85" i="1"/>
  <c r="CX85" i="1" s="1"/>
  <c r="BA85" i="1"/>
  <c r="CW85" i="1" s="1"/>
  <c r="AU85" i="1"/>
  <c r="CV85" i="1" s="1"/>
  <c r="AO85" i="1"/>
  <c r="CU85" i="1" s="1"/>
  <c r="AI85" i="1"/>
  <c r="CT85" i="1" s="1"/>
  <c r="AC85" i="1"/>
  <c r="CS85" i="1" s="1"/>
  <c r="W85" i="1"/>
  <c r="CR85" i="1" s="1"/>
  <c r="DI85" i="1" s="1"/>
  <c r="Q85" i="1"/>
  <c r="E85" i="1"/>
  <c r="CP84" i="1"/>
  <c r="CO84" i="1"/>
  <c r="CN84" i="1"/>
  <c r="CM84" i="1"/>
  <c r="CL84" i="1"/>
  <c r="CK84" i="1"/>
  <c r="DC84" i="1" s="1"/>
  <c r="CE84" i="1"/>
  <c r="DB84" i="1" s="1"/>
  <c r="BY84" i="1"/>
  <c r="DA84" i="1" s="1"/>
  <c r="BS84" i="1"/>
  <c r="CZ84" i="1" s="1"/>
  <c r="BM84" i="1"/>
  <c r="CY84" i="1" s="1"/>
  <c r="BG84" i="1"/>
  <c r="CX84" i="1" s="1"/>
  <c r="BA84" i="1"/>
  <c r="CW84" i="1" s="1"/>
  <c r="AU84" i="1"/>
  <c r="CV84" i="1" s="1"/>
  <c r="AO84" i="1"/>
  <c r="CU84" i="1" s="1"/>
  <c r="AI84" i="1"/>
  <c r="CT84" i="1" s="1"/>
  <c r="AC84" i="1"/>
  <c r="CS84" i="1" s="1"/>
  <c r="W84" i="1"/>
  <c r="CR84" i="1" s="1"/>
  <c r="DI84" i="1" s="1"/>
  <c r="Q84" i="1"/>
  <c r="E84" i="1"/>
  <c r="CJ83" i="1"/>
  <c r="CI83" i="1"/>
  <c r="CH83" i="1"/>
  <c r="CG83" i="1"/>
  <c r="CF83" i="1"/>
  <c r="CD83" i="1"/>
  <c r="CC83" i="1"/>
  <c r="CB83" i="1"/>
  <c r="CA83" i="1"/>
  <c r="BZ83" i="1"/>
  <c r="BX83" i="1"/>
  <c r="BW83" i="1"/>
  <c r="BV83" i="1"/>
  <c r="BU83" i="1"/>
  <c r="BT83" i="1"/>
  <c r="BR83" i="1"/>
  <c r="BQ83" i="1"/>
  <c r="BP83" i="1"/>
  <c r="BO83" i="1"/>
  <c r="BN83" i="1"/>
  <c r="BL83" i="1"/>
  <c r="BK83" i="1"/>
  <c r="BJ83" i="1"/>
  <c r="BI83" i="1"/>
  <c r="BH83" i="1"/>
  <c r="BF83" i="1"/>
  <c r="BE83" i="1"/>
  <c r="BD83" i="1"/>
  <c r="BC83" i="1"/>
  <c r="BB83" i="1"/>
  <c r="AZ83" i="1"/>
  <c r="AY83" i="1"/>
  <c r="AX83" i="1"/>
  <c r="AW83" i="1"/>
  <c r="AV83" i="1"/>
  <c r="AT83" i="1"/>
  <c r="AS83" i="1"/>
  <c r="AR83" i="1"/>
  <c r="AQ83" i="1"/>
  <c r="AP83" i="1"/>
  <c r="AN83" i="1"/>
  <c r="AM83" i="1"/>
  <c r="AL83" i="1"/>
  <c r="AK83" i="1"/>
  <c r="AJ83" i="1"/>
  <c r="AH83" i="1"/>
  <c r="AG83" i="1"/>
  <c r="AF83" i="1"/>
  <c r="AE83" i="1"/>
  <c r="AD83" i="1"/>
  <c r="AB83" i="1"/>
  <c r="AA83" i="1"/>
  <c r="Z83" i="1"/>
  <c r="Y83" i="1"/>
  <c r="X83" i="1"/>
  <c r="V83" i="1"/>
  <c r="U83" i="1"/>
  <c r="T83" i="1"/>
  <c r="R83" i="1"/>
  <c r="P83" i="1"/>
  <c r="O83" i="1"/>
  <c r="N83" i="1"/>
  <c r="M83" i="1"/>
  <c r="L83" i="1"/>
  <c r="K83" i="1"/>
  <c r="E83" i="1"/>
  <c r="CP82" i="1"/>
  <c r="CO82" i="1"/>
  <c r="CN82" i="1"/>
  <c r="CM82" i="1"/>
  <c r="CL82" i="1"/>
  <c r="CK82" i="1"/>
  <c r="DC82" i="1" s="1"/>
  <c r="CE82" i="1"/>
  <c r="DB82" i="1" s="1"/>
  <c r="BY82" i="1"/>
  <c r="DA82" i="1" s="1"/>
  <c r="BS82" i="1"/>
  <c r="CZ82" i="1" s="1"/>
  <c r="BM82" i="1"/>
  <c r="CY82" i="1" s="1"/>
  <c r="BG82" i="1"/>
  <c r="CX82" i="1" s="1"/>
  <c r="BA82" i="1"/>
  <c r="CW82" i="1" s="1"/>
  <c r="AU82" i="1"/>
  <c r="CV82" i="1" s="1"/>
  <c r="AO82" i="1"/>
  <c r="CU82" i="1" s="1"/>
  <c r="AI82" i="1"/>
  <c r="CT82" i="1" s="1"/>
  <c r="AC82" i="1"/>
  <c r="CS82" i="1" s="1"/>
  <c r="W82" i="1"/>
  <c r="CR82" i="1" s="1"/>
  <c r="DI82" i="1" s="1"/>
  <c r="Q82" i="1"/>
  <c r="E82" i="1"/>
  <c r="CP81" i="1"/>
  <c r="CO81" i="1"/>
  <c r="CN81" i="1"/>
  <c r="CM81" i="1"/>
  <c r="CL81" i="1"/>
  <c r="CK81" i="1"/>
  <c r="DC81" i="1" s="1"/>
  <c r="CE81" i="1"/>
  <c r="DB81" i="1" s="1"/>
  <c r="BY81" i="1"/>
  <c r="DA81" i="1" s="1"/>
  <c r="BS81" i="1"/>
  <c r="CZ81" i="1" s="1"/>
  <c r="BM81" i="1"/>
  <c r="CY81" i="1" s="1"/>
  <c r="BG81" i="1"/>
  <c r="CX81" i="1" s="1"/>
  <c r="BA81" i="1"/>
  <c r="CW81" i="1" s="1"/>
  <c r="AU81" i="1"/>
  <c r="CV81" i="1" s="1"/>
  <c r="AO81" i="1"/>
  <c r="CU81" i="1" s="1"/>
  <c r="AI81" i="1"/>
  <c r="CT81" i="1" s="1"/>
  <c r="AC81" i="1"/>
  <c r="CS81" i="1" s="1"/>
  <c r="W81" i="1"/>
  <c r="CR81" i="1" s="1"/>
  <c r="DI81" i="1" s="1"/>
  <c r="Q81" i="1"/>
  <c r="E81" i="1"/>
  <c r="CP80" i="1"/>
  <c r="CO80" i="1"/>
  <c r="CN80" i="1"/>
  <c r="CM80" i="1"/>
  <c r="CL80" i="1"/>
  <c r="CK80" i="1"/>
  <c r="DC80" i="1" s="1"/>
  <c r="CE80" i="1"/>
  <c r="DB80" i="1" s="1"/>
  <c r="BY80" i="1"/>
  <c r="DA80" i="1" s="1"/>
  <c r="BS80" i="1"/>
  <c r="CZ80" i="1" s="1"/>
  <c r="BM80" i="1"/>
  <c r="CY80" i="1" s="1"/>
  <c r="BG80" i="1"/>
  <c r="CX80" i="1" s="1"/>
  <c r="BA80" i="1"/>
  <c r="CW80" i="1" s="1"/>
  <c r="AU80" i="1"/>
  <c r="CV80" i="1" s="1"/>
  <c r="AO80" i="1"/>
  <c r="CU80" i="1" s="1"/>
  <c r="AI80" i="1"/>
  <c r="CT80" i="1" s="1"/>
  <c r="AC80" i="1"/>
  <c r="CS80" i="1" s="1"/>
  <c r="W80" i="1"/>
  <c r="CR80" i="1" s="1"/>
  <c r="DI80" i="1" s="1"/>
  <c r="Q80" i="1"/>
  <c r="E80" i="1"/>
  <c r="CP79" i="1"/>
  <c r="CO79" i="1"/>
  <c r="CN79" i="1"/>
  <c r="CL79" i="1"/>
  <c r="CK79" i="1"/>
  <c r="CE79" i="1"/>
  <c r="DB79" i="1" s="1"/>
  <c r="BY79" i="1"/>
  <c r="BS79" i="1"/>
  <c r="CZ79" i="1" s="1"/>
  <c r="BM79" i="1"/>
  <c r="CY79" i="1" s="1"/>
  <c r="BG79" i="1"/>
  <c r="CX79" i="1" s="1"/>
  <c r="BA79" i="1"/>
  <c r="AU79" i="1"/>
  <c r="AO79" i="1"/>
  <c r="AI79" i="1"/>
  <c r="CT79" i="1" s="1"/>
  <c r="AC79" i="1"/>
  <c r="Q79" i="1"/>
  <c r="E79" i="1"/>
  <c r="CJ78" i="1"/>
  <c r="CI78" i="1"/>
  <c r="CH78" i="1"/>
  <c r="CG78" i="1"/>
  <c r="CF78" i="1"/>
  <c r="CD78" i="1"/>
  <c r="CC78" i="1"/>
  <c r="CB78" i="1"/>
  <c r="CA78" i="1"/>
  <c r="BZ78" i="1"/>
  <c r="BX78" i="1"/>
  <c r="BW78" i="1"/>
  <c r="BV78" i="1"/>
  <c r="BU78" i="1"/>
  <c r="BT78" i="1"/>
  <c r="BR78" i="1"/>
  <c r="BQ78" i="1"/>
  <c r="BP78" i="1"/>
  <c r="BO78" i="1"/>
  <c r="BN78" i="1"/>
  <c r="BL78" i="1"/>
  <c r="BK78" i="1"/>
  <c r="BJ78" i="1"/>
  <c r="BI78" i="1"/>
  <c r="BH78" i="1"/>
  <c r="BF78" i="1"/>
  <c r="BE78" i="1"/>
  <c r="BD78" i="1"/>
  <c r="BC78" i="1"/>
  <c r="BB78" i="1"/>
  <c r="AZ78" i="1"/>
  <c r="AY78" i="1"/>
  <c r="AX78" i="1"/>
  <c r="AW78" i="1"/>
  <c r="AV78" i="1"/>
  <c r="AT78" i="1"/>
  <c r="AS78" i="1"/>
  <c r="AR78" i="1"/>
  <c r="AQ78" i="1"/>
  <c r="AP78" i="1"/>
  <c r="AN78" i="1"/>
  <c r="AM78" i="1"/>
  <c r="AL78" i="1"/>
  <c r="AK78" i="1"/>
  <c r="AJ78" i="1"/>
  <c r="AH78" i="1"/>
  <c r="AG78" i="1"/>
  <c r="AF78" i="1"/>
  <c r="AE78" i="1"/>
  <c r="AD78" i="1"/>
  <c r="AB78" i="1"/>
  <c r="AA78" i="1"/>
  <c r="Z78" i="1"/>
  <c r="Y78" i="1"/>
  <c r="X78" i="1"/>
  <c r="V78" i="1"/>
  <c r="U78" i="1"/>
  <c r="T78" i="1"/>
  <c r="S78" i="1"/>
  <c r="R78" i="1"/>
  <c r="P78" i="1"/>
  <c r="O78" i="1"/>
  <c r="N78" i="1"/>
  <c r="M78" i="1"/>
  <c r="L78" i="1"/>
  <c r="K78" i="1"/>
  <c r="E78" i="1"/>
  <c r="CP77" i="1"/>
  <c r="CO77" i="1"/>
  <c r="CN77" i="1"/>
  <c r="CM77" i="1"/>
  <c r="CL77" i="1"/>
  <c r="CK77" i="1"/>
  <c r="DC77" i="1" s="1"/>
  <c r="CE77" i="1"/>
  <c r="DB77" i="1" s="1"/>
  <c r="BY77" i="1"/>
  <c r="DA77" i="1" s="1"/>
  <c r="BS77" i="1"/>
  <c r="CZ77" i="1" s="1"/>
  <c r="BM77" i="1"/>
  <c r="CY77" i="1" s="1"/>
  <c r="BG77" i="1"/>
  <c r="CX77" i="1" s="1"/>
  <c r="BA77" i="1"/>
  <c r="CW77" i="1" s="1"/>
  <c r="AU77" i="1"/>
  <c r="CV77" i="1" s="1"/>
  <c r="AO77" i="1"/>
  <c r="CU77" i="1" s="1"/>
  <c r="AI77" i="1"/>
  <c r="CT77" i="1" s="1"/>
  <c r="AC77" i="1"/>
  <c r="CS77" i="1" s="1"/>
  <c r="W77" i="1"/>
  <c r="CR77" i="1" s="1"/>
  <c r="DI77" i="1" s="1"/>
  <c r="Q77" i="1"/>
  <c r="E77" i="1"/>
  <c r="CP76" i="1"/>
  <c r="CO76" i="1"/>
  <c r="CN76" i="1"/>
  <c r="CM76" i="1"/>
  <c r="CL76" i="1"/>
  <c r="CK76" i="1"/>
  <c r="CE76" i="1"/>
  <c r="DB76" i="1" s="1"/>
  <c r="BY76" i="1"/>
  <c r="BS76" i="1"/>
  <c r="BM76" i="1"/>
  <c r="BG76" i="1"/>
  <c r="CX76" i="1" s="1"/>
  <c r="BA76" i="1"/>
  <c r="AU76" i="1"/>
  <c r="AO76" i="1"/>
  <c r="AI76" i="1"/>
  <c r="CT76" i="1" s="1"/>
  <c r="AC76" i="1"/>
  <c r="W76" i="1"/>
  <c r="Q76" i="1"/>
  <c r="E76" i="1"/>
  <c r="CJ75" i="1"/>
  <c r="CI75" i="1"/>
  <c r="CH75" i="1"/>
  <c r="CG75" i="1"/>
  <c r="CF75" i="1"/>
  <c r="CD75" i="1"/>
  <c r="CC75" i="1"/>
  <c r="CB75" i="1"/>
  <c r="CA75" i="1"/>
  <c r="BZ75" i="1"/>
  <c r="BX75" i="1"/>
  <c r="BW75" i="1"/>
  <c r="BV75" i="1"/>
  <c r="BU75" i="1"/>
  <c r="BT75" i="1"/>
  <c r="BR75" i="1"/>
  <c r="BQ75" i="1"/>
  <c r="BP75" i="1"/>
  <c r="BO75" i="1"/>
  <c r="BN75" i="1"/>
  <c r="BL75" i="1"/>
  <c r="BK75" i="1"/>
  <c r="BJ75" i="1"/>
  <c r="BI75" i="1"/>
  <c r="BH75" i="1"/>
  <c r="BF75" i="1"/>
  <c r="BE75" i="1"/>
  <c r="BD75" i="1"/>
  <c r="BC75" i="1"/>
  <c r="BB75" i="1"/>
  <c r="AZ75" i="1"/>
  <c r="AY75" i="1"/>
  <c r="AX75" i="1"/>
  <c r="AW75" i="1"/>
  <c r="AV75" i="1"/>
  <c r="AT75" i="1"/>
  <c r="AS75" i="1"/>
  <c r="AR75" i="1"/>
  <c r="AQ75" i="1"/>
  <c r="AP75" i="1"/>
  <c r="AN75" i="1"/>
  <c r="AM75" i="1"/>
  <c r="AL75" i="1"/>
  <c r="AK75" i="1"/>
  <c r="AJ75" i="1"/>
  <c r="AH75" i="1"/>
  <c r="AG75" i="1"/>
  <c r="AF75" i="1"/>
  <c r="AE75" i="1"/>
  <c r="AD75" i="1"/>
  <c r="AB75" i="1"/>
  <c r="AA75" i="1"/>
  <c r="Z75" i="1"/>
  <c r="Y75" i="1"/>
  <c r="X75" i="1"/>
  <c r="V75" i="1"/>
  <c r="U75" i="1"/>
  <c r="T75" i="1"/>
  <c r="S75" i="1"/>
  <c r="R75" i="1"/>
  <c r="P75" i="1"/>
  <c r="O75" i="1"/>
  <c r="N75" i="1"/>
  <c r="M75" i="1"/>
  <c r="L75" i="1"/>
  <c r="K75" i="1"/>
  <c r="E75" i="1"/>
  <c r="CP74" i="1"/>
  <c r="CO74" i="1"/>
  <c r="CN74" i="1"/>
  <c r="CM74" i="1"/>
  <c r="CL74" i="1"/>
  <c r="CK74" i="1"/>
  <c r="DC74" i="1" s="1"/>
  <c r="CE74" i="1"/>
  <c r="DB74" i="1" s="1"/>
  <c r="BY74" i="1"/>
  <c r="DA74" i="1" s="1"/>
  <c r="BS74" i="1"/>
  <c r="CZ74" i="1" s="1"/>
  <c r="BM74" i="1"/>
  <c r="CY74" i="1" s="1"/>
  <c r="BG74" i="1"/>
  <c r="CX74" i="1" s="1"/>
  <c r="BA74" i="1"/>
  <c r="CW74" i="1" s="1"/>
  <c r="AU74" i="1"/>
  <c r="CV74" i="1" s="1"/>
  <c r="AO74" i="1"/>
  <c r="CU74" i="1" s="1"/>
  <c r="AI74" i="1"/>
  <c r="CT74" i="1" s="1"/>
  <c r="AC74" i="1"/>
  <c r="CS74" i="1" s="1"/>
  <c r="W74" i="1"/>
  <c r="CR74" i="1" s="1"/>
  <c r="DI74" i="1" s="1"/>
  <c r="Q74" i="1"/>
  <c r="E74" i="1"/>
  <c r="CP73" i="1"/>
  <c r="CO73" i="1"/>
  <c r="CN73" i="1"/>
  <c r="CM73" i="1"/>
  <c r="CL73" i="1"/>
  <c r="CK73" i="1"/>
  <c r="CE73" i="1"/>
  <c r="DB73" i="1" s="1"/>
  <c r="BY73" i="1"/>
  <c r="BS73" i="1"/>
  <c r="CZ73" i="1" s="1"/>
  <c r="BM73" i="1"/>
  <c r="BG73" i="1"/>
  <c r="CX73" i="1" s="1"/>
  <c r="BA73" i="1"/>
  <c r="AU73" i="1"/>
  <c r="CV73" i="1" s="1"/>
  <c r="AO73" i="1"/>
  <c r="AI73" i="1"/>
  <c r="CT73" i="1" s="1"/>
  <c r="AC73" i="1"/>
  <c r="W73" i="1"/>
  <c r="Q73" i="1"/>
  <c r="E73" i="1"/>
  <c r="CJ70" i="1"/>
  <c r="CI70" i="1"/>
  <c r="CH70" i="1"/>
  <c r="CG70" i="1"/>
  <c r="CF70" i="1"/>
  <c r="CD70" i="1"/>
  <c r="CC70" i="1"/>
  <c r="CB70" i="1"/>
  <c r="CA70" i="1"/>
  <c r="BZ70" i="1"/>
  <c r="BX70" i="1"/>
  <c r="BW70" i="1"/>
  <c r="BV70" i="1"/>
  <c r="BU70" i="1"/>
  <c r="BT70" i="1"/>
  <c r="BR70" i="1"/>
  <c r="BQ70" i="1"/>
  <c r="BP70" i="1"/>
  <c r="BO70" i="1"/>
  <c r="BN70" i="1"/>
  <c r="BL70" i="1"/>
  <c r="BK70" i="1"/>
  <c r="BJ70" i="1"/>
  <c r="BI70" i="1"/>
  <c r="BF70" i="1"/>
  <c r="BE70" i="1"/>
  <c r="BD70" i="1"/>
  <c r="BC70" i="1"/>
  <c r="AZ70" i="1"/>
  <c r="AY70" i="1"/>
  <c r="AX70" i="1"/>
  <c r="AW70" i="1"/>
  <c r="AT70" i="1"/>
  <c r="AS70" i="1"/>
  <c r="AR70" i="1"/>
  <c r="AQ70" i="1"/>
  <c r="AN70" i="1"/>
  <c r="AM70" i="1"/>
  <c r="AL70" i="1"/>
  <c r="AK70" i="1"/>
  <c r="AH70" i="1"/>
  <c r="AG70" i="1"/>
  <c r="AF70" i="1"/>
  <c r="AE70" i="1"/>
  <c r="AD70" i="1"/>
  <c r="AB70" i="1"/>
  <c r="AA70" i="1"/>
  <c r="Z70" i="1"/>
  <c r="Y70" i="1"/>
  <c r="X70" i="1"/>
  <c r="V70" i="1"/>
  <c r="U70" i="1"/>
  <c r="T70" i="1"/>
  <c r="S70" i="1"/>
  <c r="R70" i="1"/>
  <c r="P70" i="1"/>
  <c r="O70" i="1"/>
  <c r="N70" i="1"/>
  <c r="M70" i="1"/>
  <c r="L70" i="1"/>
  <c r="K70" i="1"/>
  <c r="E70" i="1"/>
  <c r="CP69" i="1"/>
  <c r="CO69" i="1"/>
  <c r="CN69" i="1"/>
  <c r="CM69" i="1"/>
  <c r="CL69" i="1"/>
  <c r="CK69" i="1"/>
  <c r="DC69" i="1" s="1"/>
  <c r="CE69" i="1"/>
  <c r="DB69" i="1" s="1"/>
  <c r="BY69" i="1"/>
  <c r="DA69" i="1" s="1"/>
  <c r="BS69" i="1"/>
  <c r="CZ69" i="1" s="1"/>
  <c r="BM69" i="1"/>
  <c r="CY69" i="1" s="1"/>
  <c r="BG69" i="1"/>
  <c r="CX69" i="1" s="1"/>
  <c r="BA69" i="1"/>
  <c r="CW69" i="1" s="1"/>
  <c r="AU69" i="1"/>
  <c r="CV69" i="1" s="1"/>
  <c r="AO69" i="1"/>
  <c r="CU69" i="1" s="1"/>
  <c r="AI69" i="1"/>
  <c r="CT69" i="1" s="1"/>
  <c r="AC69" i="1"/>
  <c r="CS69" i="1" s="1"/>
  <c r="W69" i="1"/>
  <c r="Q69" i="1"/>
  <c r="E69" i="1"/>
  <c r="CP68" i="1"/>
  <c r="CO68" i="1"/>
  <c r="CN68" i="1"/>
  <c r="CM68" i="1"/>
  <c r="CL68" i="1"/>
  <c r="CK68" i="1"/>
  <c r="DC68" i="1" s="1"/>
  <c r="CE68" i="1"/>
  <c r="BY68" i="1"/>
  <c r="DA68" i="1" s="1"/>
  <c r="BS68" i="1"/>
  <c r="CZ68" i="1" s="1"/>
  <c r="BM68" i="1"/>
  <c r="CY68" i="1" s="1"/>
  <c r="BG68" i="1"/>
  <c r="BA68" i="1"/>
  <c r="CW68" i="1" s="1"/>
  <c r="AU68" i="1"/>
  <c r="CV68" i="1" s="1"/>
  <c r="AO68" i="1"/>
  <c r="CU68" i="1" s="1"/>
  <c r="AI68" i="1"/>
  <c r="AC68" i="1"/>
  <c r="CS68" i="1" s="1"/>
  <c r="W68" i="1"/>
  <c r="CR68" i="1" s="1"/>
  <c r="DI68" i="1" s="1"/>
  <c r="Q68" i="1"/>
  <c r="E68" i="1"/>
  <c r="CP67" i="1"/>
  <c r="CO67" i="1"/>
  <c r="CN67" i="1"/>
  <c r="CM67" i="1"/>
  <c r="CK67" i="1"/>
  <c r="CE67" i="1"/>
  <c r="BY67" i="1"/>
  <c r="BS67" i="1"/>
  <c r="AI67" i="1"/>
  <c r="CT67" i="1" s="1"/>
  <c r="AC67" i="1"/>
  <c r="CS67" i="1" s="1"/>
  <c r="W67" i="1"/>
  <c r="Q67" i="1"/>
  <c r="E67" i="1"/>
  <c r="DI66" i="1"/>
  <c r="DJ66" i="1" s="1"/>
  <c r="DK66" i="1" s="1"/>
  <c r="DL66" i="1" s="1"/>
  <c r="DM66" i="1" s="1"/>
  <c r="DN66" i="1" s="1"/>
  <c r="DO66" i="1" s="1"/>
  <c r="DP66" i="1" s="1"/>
  <c r="DQ66" i="1" s="1"/>
  <c r="DR66" i="1" s="1"/>
  <c r="DS66" i="1" s="1"/>
  <c r="DT66" i="1" s="1"/>
  <c r="E64" i="1"/>
  <c r="CP62" i="1"/>
  <c r="CO62" i="1"/>
  <c r="CN62" i="1"/>
  <c r="CM62" i="1"/>
  <c r="CL62" i="1"/>
  <c r="CK62" i="1"/>
  <c r="DC62" i="1" s="1"/>
  <c r="CE62" i="1"/>
  <c r="DB62" i="1" s="1"/>
  <c r="BY62" i="1"/>
  <c r="DA62" i="1" s="1"/>
  <c r="BS62" i="1"/>
  <c r="CZ62" i="1" s="1"/>
  <c r="BM62" i="1"/>
  <c r="CY62" i="1" s="1"/>
  <c r="BG62" i="1"/>
  <c r="CX62" i="1" s="1"/>
  <c r="BA62" i="1"/>
  <c r="CW62" i="1" s="1"/>
  <c r="AU62" i="1"/>
  <c r="CV62" i="1" s="1"/>
  <c r="AO62" i="1"/>
  <c r="CU62" i="1" s="1"/>
  <c r="AI62" i="1"/>
  <c r="CT62" i="1" s="1"/>
  <c r="AC62" i="1"/>
  <c r="CS62" i="1" s="1"/>
  <c r="W62" i="1"/>
  <c r="CP61" i="1"/>
  <c r="CO61" i="1"/>
  <c r="CN61" i="1"/>
  <c r="CM61" i="1"/>
  <c r="CL61" i="1"/>
  <c r="CK61" i="1"/>
  <c r="DC61" i="1" s="1"/>
  <c r="CE61" i="1"/>
  <c r="DB61" i="1" s="1"/>
  <c r="BY61" i="1"/>
  <c r="DA61" i="1" s="1"/>
  <c r="BS61" i="1"/>
  <c r="CZ61" i="1" s="1"/>
  <c r="BM61" i="1"/>
  <c r="CY61" i="1" s="1"/>
  <c r="BG61" i="1"/>
  <c r="CX61" i="1" s="1"/>
  <c r="BA61" i="1"/>
  <c r="CW61" i="1" s="1"/>
  <c r="AU61" i="1"/>
  <c r="CV61" i="1" s="1"/>
  <c r="AO61" i="1"/>
  <c r="CU61" i="1" s="1"/>
  <c r="AI61" i="1"/>
  <c r="CT61" i="1" s="1"/>
  <c r="AC61" i="1"/>
  <c r="CS61" i="1" s="1"/>
  <c r="W61" i="1"/>
  <c r="CR61" i="1" s="1"/>
  <c r="DI61" i="1" s="1"/>
  <c r="Q61" i="1"/>
  <c r="E61" i="1"/>
  <c r="E59" i="1"/>
  <c r="CP58" i="1"/>
  <c r="CO58" i="1"/>
  <c r="CN58" i="1"/>
  <c r="CM58" i="1"/>
  <c r="CL58" i="1"/>
  <c r="CK58" i="1"/>
  <c r="DC58" i="1" s="1"/>
  <c r="CE58" i="1"/>
  <c r="DB58" i="1" s="1"/>
  <c r="BY58" i="1"/>
  <c r="BS58" i="1"/>
  <c r="CZ58" i="1" s="1"/>
  <c r="BM58" i="1"/>
  <c r="CY58" i="1" s="1"/>
  <c r="BG58" i="1"/>
  <c r="CX58" i="1" s="1"/>
  <c r="BA58" i="1"/>
  <c r="AU58" i="1"/>
  <c r="CV58" i="1" s="1"/>
  <c r="AO58" i="1"/>
  <c r="CU58" i="1" s="1"/>
  <c r="AI58" i="1"/>
  <c r="CT58" i="1" s="1"/>
  <c r="AC58" i="1"/>
  <c r="W58" i="1"/>
  <c r="CR58" i="1" s="1"/>
  <c r="DI58" i="1" s="1"/>
  <c r="Q58" i="1"/>
  <c r="E58" i="1"/>
  <c r="CJ57" i="1"/>
  <c r="CI57" i="1"/>
  <c r="CH57" i="1"/>
  <c r="CG57" i="1"/>
  <c r="CF57" i="1"/>
  <c r="CD57" i="1"/>
  <c r="CC57" i="1"/>
  <c r="CB57" i="1"/>
  <c r="CA57" i="1"/>
  <c r="BZ57" i="1"/>
  <c r="BX57" i="1"/>
  <c r="BW57" i="1"/>
  <c r="BV57" i="1"/>
  <c r="BU57" i="1"/>
  <c r="BT57" i="1"/>
  <c r="BR57" i="1"/>
  <c r="BQ57" i="1"/>
  <c r="BP57" i="1"/>
  <c r="BO57" i="1"/>
  <c r="BN57" i="1"/>
  <c r="BL57" i="1"/>
  <c r="BK57" i="1"/>
  <c r="BJ57" i="1"/>
  <c r="BI57" i="1"/>
  <c r="BH57" i="1"/>
  <c r="BF57" i="1"/>
  <c r="BE57" i="1"/>
  <c r="BD57" i="1"/>
  <c r="BC57" i="1"/>
  <c r="BB57" i="1"/>
  <c r="AZ57" i="1"/>
  <c r="AY57" i="1"/>
  <c r="AX57" i="1"/>
  <c r="AW57" i="1"/>
  <c r="AV57" i="1"/>
  <c r="AT57" i="1"/>
  <c r="AS57" i="1"/>
  <c r="AR57" i="1"/>
  <c r="AQ57" i="1"/>
  <c r="AP57" i="1"/>
  <c r="AN57" i="1"/>
  <c r="AM57" i="1"/>
  <c r="AL57" i="1"/>
  <c r="AK57" i="1"/>
  <c r="AJ57" i="1"/>
  <c r="AH57" i="1"/>
  <c r="AG57" i="1"/>
  <c r="AF57" i="1"/>
  <c r="AE57" i="1"/>
  <c r="AD57" i="1"/>
  <c r="AB57" i="1"/>
  <c r="AA57" i="1"/>
  <c r="Z57" i="1"/>
  <c r="Y57" i="1"/>
  <c r="X57" i="1"/>
  <c r="V57" i="1"/>
  <c r="U57" i="1"/>
  <c r="T57" i="1"/>
  <c r="S57" i="1"/>
  <c r="R57" i="1"/>
  <c r="P57" i="1"/>
  <c r="O57" i="1"/>
  <c r="N57" i="1"/>
  <c r="M57" i="1"/>
  <c r="L57" i="1"/>
  <c r="K57" i="1"/>
  <c r="E57" i="1"/>
  <c r="CP56" i="1"/>
  <c r="CO56" i="1"/>
  <c r="CN56" i="1"/>
  <c r="CM56" i="1"/>
  <c r="CL56" i="1"/>
  <c r="CK56" i="1"/>
  <c r="DC56" i="1" s="1"/>
  <c r="CE56" i="1"/>
  <c r="DB56" i="1" s="1"/>
  <c r="BY56" i="1"/>
  <c r="DA56" i="1" s="1"/>
  <c r="BS56" i="1"/>
  <c r="CZ56" i="1" s="1"/>
  <c r="BM56" i="1"/>
  <c r="CY56" i="1" s="1"/>
  <c r="BG56" i="1"/>
  <c r="CX56" i="1" s="1"/>
  <c r="BA56" i="1"/>
  <c r="CW56" i="1" s="1"/>
  <c r="AU56" i="1"/>
  <c r="CV56" i="1" s="1"/>
  <c r="AO56" i="1"/>
  <c r="CU56" i="1" s="1"/>
  <c r="AI56" i="1"/>
  <c r="CT56" i="1" s="1"/>
  <c r="AC56" i="1"/>
  <c r="W56" i="1"/>
  <c r="CR56" i="1" s="1"/>
  <c r="DI56" i="1" s="1"/>
  <c r="Q56" i="1"/>
  <c r="E56" i="1"/>
  <c r="CP55" i="1"/>
  <c r="CO55" i="1"/>
  <c r="CN55" i="1"/>
  <c r="CM55" i="1"/>
  <c r="CL55" i="1"/>
  <c r="CK55" i="1"/>
  <c r="DC55" i="1" s="1"/>
  <c r="CE55" i="1"/>
  <c r="DB55" i="1" s="1"/>
  <c r="BY55" i="1"/>
  <c r="DA55" i="1" s="1"/>
  <c r="BS55" i="1"/>
  <c r="CZ55" i="1" s="1"/>
  <c r="BM55" i="1"/>
  <c r="CY55" i="1" s="1"/>
  <c r="BG55" i="1"/>
  <c r="CX55" i="1" s="1"/>
  <c r="BA55" i="1"/>
  <c r="CW55" i="1" s="1"/>
  <c r="AU55" i="1"/>
  <c r="CV55" i="1" s="1"/>
  <c r="AO55" i="1"/>
  <c r="CU55" i="1" s="1"/>
  <c r="AI55" i="1"/>
  <c r="CT55" i="1" s="1"/>
  <c r="AC55" i="1"/>
  <c r="W55" i="1"/>
  <c r="CR55" i="1" s="1"/>
  <c r="DI55" i="1" s="1"/>
  <c r="Q55" i="1"/>
  <c r="E55" i="1"/>
  <c r="CP54" i="1"/>
  <c r="CO54" i="1"/>
  <c r="CN54" i="1"/>
  <c r="CM54" i="1"/>
  <c r="CL54" i="1"/>
  <c r="CK54" i="1"/>
  <c r="DC54" i="1" s="1"/>
  <c r="CE54" i="1"/>
  <c r="DB54" i="1" s="1"/>
  <c r="BY54" i="1"/>
  <c r="DA54" i="1" s="1"/>
  <c r="BS54" i="1"/>
  <c r="CZ54" i="1" s="1"/>
  <c r="BM54" i="1"/>
  <c r="CY54" i="1" s="1"/>
  <c r="BG54" i="1"/>
  <c r="CX54" i="1" s="1"/>
  <c r="BA54" i="1"/>
  <c r="CW54" i="1" s="1"/>
  <c r="AU54" i="1"/>
  <c r="CV54" i="1" s="1"/>
  <c r="AO54" i="1"/>
  <c r="CU54" i="1" s="1"/>
  <c r="AI54" i="1"/>
  <c r="CT54" i="1" s="1"/>
  <c r="AC54" i="1"/>
  <c r="CS54" i="1" s="1"/>
  <c r="W54" i="1"/>
  <c r="CR54" i="1" s="1"/>
  <c r="DI54" i="1" s="1"/>
  <c r="Q54" i="1"/>
  <c r="E54" i="1"/>
  <c r="CP53" i="1"/>
  <c r="CO53" i="1"/>
  <c r="CN53" i="1"/>
  <c r="CM53" i="1"/>
  <c r="CL53" i="1"/>
  <c r="CK53" i="1"/>
  <c r="DC53" i="1" s="1"/>
  <c r="CE53" i="1"/>
  <c r="DB53" i="1" s="1"/>
  <c r="BY53" i="1"/>
  <c r="DA53" i="1" s="1"/>
  <c r="BS53" i="1"/>
  <c r="CZ53" i="1" s="1"/>
  <c r="BM53" i="1"/>
  <c r="CY53" i="1" s="1"/>
  <c r="BG53" i="1"/>
  <c r="CX53" i="1" s="1"/>
  <c r="BA53" i="1"/>
  <c r="CW53" i="1" s="1"/>
  <c r="AU53" i="1"/>
  <c r="CV53" i="1" s="1"/>
  <c r="AO53" i="1"/>
  <c r="CU53" i="1" s="1"/>
  <c r="AI53" i="1"/>
  <c r="CT53" i="1" s="1"/>
  <c r="AC53" i="1"/>
  <c r="W53" i="1"/>
  <c r="CR53" i="1" s="1"/>
  <c r="DI53" i="1" s="1"/>
  <c r="Q53" i="1"/>
  <c r="E53" i="1"/>
  <c r="CP52" i="1"/>
  <c r="CO52" i="1"/>
  <c r="CN52" i="1"/>
  <c r="CM52" i="1"/>
  <c r="CL52" i="1"/>
  <c r="CK52" i="1"/>
  <c r="CE52" i="1"/>
  <c r="DB52" i="1" s="1"/>
  <c r="BY52" i="1"/>
  <c r="BS52" i="1"/>
  <c r="BM52" i="1"/>
  <c r="BG52" i="1"/>
  <c r="CX52" i="1" s="1"/>
  <c r="BA52" i="1"/>
  <c r="CW52" i="1" s="1"/>
  <c r="AU52" i="1"/>
  <c r="AO52" i="1"/>
  <c r="AI52" i="1"/>
  <c r="CT52" i="1" s="1"/>
  <c r="AC52" i="1"/>
  <c r="W52" i="1"/>
  <c r="CR52" i="1" s="1"/>
  <c r="DI52" i="1" s="1"/>
  <c r="Q52" i="1"/>
  <c r="E52" i="1"/>
  <c r="CJ51" i="1"/>
  <c r="CI51" i="1"/>
  <c r="CH51" i="1"/>
  <c r="CG51" i="1"/>
  <c r="CF51" i="1"/>
  <c r="CD51" i="1"/>
  <c r="CC51" i="1"/>
  <c r="CB51" i="1"/>
  <c r="CA51" i="1"/>
  <c r="BZ51" i="1"/>
  <c r="BX51" i="1"/>
  <c r="BW51" i="1"/>
  <c r="BV51" i="1"/>
  <c r="BU51" i="1"/>
  <c r="BT51" i="1"/>
  <c r="BR51" i="1"/>
  <c r="BQ51" i="1"/>
  <c r="BP51" i="1"/>
  <c r="BO51" i="1"/>
  <c r="BN51" i="1"/>
  <c r="BL51" i="1"/>
  <c r="BK51" i="1"/>
  <c r="BJ51" i="1"/>
  <c r="BI51" i="1"/>
  <c r="BH51" i="1"/>
  <c r="BF51" i="1"/>
  <c r="BE51" i="1"/>
  <c r="BD51" i="1"/>
  <c r="BC51" i="1"/>
  <c r="BB51" i="1"/>
  <c r="AZ51" i="1"/>
  <c r="AY51" i="1"/>
  <c r="AX51" i="1"/>
  <c r="AW51" i="1"/>
  <c r="AV51" i="1"/>
  <c r="AT51" i="1"/>
  <c r="AS51" i="1"/>
  <c r="AR51" i="1"/>
  <c r="AQ51" i="1"/>
  <c r="AP51" i="1"/>
  <c r="AN51" i="1"/>
  <c r="AM51" i="1"/>
  <c r="AL51" i="1"/>
  <c r="AK51" i="1"/>
  <c r="AJ51" i="1"/>
  <c r="AH51" i="1"/>
  <c r="AG51" i="1"/>
  <c r="AF51" i="1"/>
  <c r="AE51" i="1"/>
  <c r="AD51" i="1"/>
  <c r="AB51" i="1"/>
  <c r="AA51" i="1"/>
  <c r="Z51" i="1"/>
  <c r="Y51" i="1"/>
  <c r="X51" i="1"/>
  <c r="V51" i="1"/>
  <c r="U51" i="1"/>
  <c r="T51" i="1"/>
  <c r="S51" i="1"/>
  <c r="R51" i="1"/>
  <c r="P51" i="1"/>
  <c r="O51" i="1"/>
  <c r="N51" i="1"/>
  <c r="M51" i="1"/>
  <c r="L51" i="1"/>
  <c r="K51" i="1"/>
  <c r="E51" i="1"/>
  <c r="CP50" i="1"/>
  <c r="CO50" i="1"/>
  <c r="CN50" i="1"/>
  <c r="CM50" i="1"/>
  <c r="CL50" i="1"/>
  <c r="CK50" i="1"/>
  <c r="DC50" i="1" s="1"/>
  <c r="CE50" i="1"/>
  <c r="DB50" i="1" s="1"/>
  <c r="BY50" i="1"/>
  <c r="DA50" i="1" s="1"/>
  <c r="BS50" i="1"/>
  <c r="CZ50" i="1" s="1"/>
  <c r="BM50" i="1"/>
  <c r="CY50" i="1" s="1"/>
  <c r="BG50" i="1"/>
  <c r="CX50" i="1" s="1"/>
  <c r="BA50" i="1"/>
  <c r="CW50" i="1" s="1"/>
  <c r="AU50" i="1"/>
  <c r="CV50" i="1" s="1"/>
  <c r="AO50" i="1"/>
  <c r="CU50" i="1" s="1"/>
  <c r="AI50" i="1"/>
  <c r="CT50" i="1" s="1"/>
  <c r="AC50" i="1"/>
  <c r="W50" i="1"/>
  <c r="CR50" i="1" s="1"/>
  <c r="DI50" i="1" s="1"/>
  <c r="Q50" i="1"/>
  <c r="E50" i="1"/>
  <c r="CP49" i="1"/>
  <c r="CO49" i="1"/>
  <c r="CN49" i="1"/>
  <c r="CM49" i="1"/>
  <c r="CL49" i="1"/>
  <c r="CK49" i="1"/>
  <c r="DC49" i="1" s="1"/>
  <c r="CE49" i="1"/>
  <c r="DB49" i="1" s="1"/>
  <c r="BY49" i="1"/>
  <c r="BS49" i="1"/>
  <c r="CZ49" i="1" s="1"/>
  <c r="BM49" i="1"/>
  <c r="CY49" i="1" s="1"/>
  <c r="BG49" i="1"/>
  <c r="CX49" i="1" s="1"/>
  <c r="BA49" i="1"/>
  <c r="CW49" i="1" s="1"/>
  <c r="AU49" i="1"/>
  <c r="CV49" i="1" s="1"/>
  <c r="AO49" i="1"/>
  <c r="AI49" i="1"/>
  <c r="CT49" i="1" s="1"/>
  <c r="AC49" i="1"/>
  <c r="W49" i="1"/>
  <c r="CR49" i="1" s="1"/>
  <c r="DI49" i="1" s="1"/>
  <c r="Q49" i="1"/>
  <c r="E49" i="1"/>
  <c r="CJ46" i="1"/>
  <c r="CI46" i="1"/>
  <c r="CH46" i="1"/>
  <c r="CG46" i="1"/>
  <c r="CF46" i="1"/>
  <c r="CD46" i="1"/>
  <c r="CC46" i="1"/>
  <c r="CB46" i="1"/>
  <c r="CA46" i="1"/>
  <c r="BZ46" i="1"/>
  <c r="BX46" i="1"/>
  <c r="BW46" i="1"/>
  <c r="BV46" i="1"/>
  <c r="BU46" i="1"/>
  <c r="BT46" i="1"/>
  <c r="BR46" i="1"/>
  <c r="BQ46" i="1"/>
  <c r="BP46" i="1"/>
  <c r="BO46" i="1"/>
  <c r="BN46" i="1"/>
  <c r="BL46" i="1"/>
  <c r="BK46" i="1"/>
  <c r="BJ46" i="1"/>
  <c r="BI46" i="1"/>
  <c r="BH46" i="1"/>
  <c r="BF46" i="1"/>
  <c r="BE46" i="1"/>
  <c r="BD46" i="1"/>
  <c r="BC46" i="1"/>
  <c r="BB46" i="1"/>
  <c r="AZ46" i="1"/>
  <c r="AY46" i="1"/>
  <c r="AX46" i="1"/>
  <c r="AW46" i="1"/>
  <c r="AV46" i="1"/>
  <c r="AT46" i="1"/>
  <c r="AS46" i="1"/>
  <c r="AR46" i="1"/>
  <c r="AQ46" i="1"/>
  <c r="AP46" i="1"/>
  <c r="AN46" i="1"/>
  <c r="AM46" i="1"/>
  <c r="AL46" i="1"/>
  <c r="AK46" i="1"/>
  <c r="AJ46" i="1"/>
  <c r="AH46" i="1"/>
  <c r="AG46" i="1"/>
  <c r="AF46" i="1"/>
  <c r="AE46" i="1"/>
  <c r="AD46" i="1"/>
  <c r="AB46" i="1"/>
  <c r="AA46" i="1"/>
  <c r="Z46" i="1"/>
  <c r="Y46" i="1"/>
  <c r="X46" i="1"/>
  <c r="V46" i="1"/>
  <c r="U46" i="1"/>
  <c r="T46" i="1"/>
  <c r="S46" i="1"/>
  <c r="R46" i="1"/>
  <c r="P46" i="1"/>
  <c r="O46" i="1"/>
  <c r="N46" i="1"/>
  <c r="M46" i="1"/>
  <c r="L46" i="1"/>
  <c r="K46" i="1"/>
  <c r="E46" i="1"/>
  <c r="CP45" i="1"/>
  <c r="CO45" i="1"/>
  <c r="CN45" i="1"/>
  <c r="CM45" i="1"/>
  <c r="CL45" i="1"/>
  <c r="CK45" i="1"/>
  <c r="DC45" i="1" s="1"/>
  <c r="CE45" i="1"/>
  <c r="DB45" i="1" s="1"/>
  <c r="BY45" i="1"/>
  <c r="DA45" i="1" s="1"/>
  <c r="BS45" i="1"/>
  <c r="CZ45" i="1" s="1"/>
  <c r="BM45" i="1"/>
  <c r="CY45" i="1" s="1"/>
  <c r="BG45" i="1"/>
  <c r="CX45" i="1" s="1"/>
  <c r="BA45" i="1"/>
  <c r="CW45" i="1" s="1"/>
  <c r="AU45" i="1"/>
  <c r="CV45" i="1" s="1"/>
  <c r="AO45" i="1"/>
  <c r="CU45" i="1" s="1"/>
  <c r="AI45" i="1"/>
  <c r="CT45" i="1" s="1"/>
  <c r="AC45" i="1"/>
  <c r="CS45" i="1" s="1"/>
  <c r="W45" i="1"/>
  <c r="CR45" i="1" s="1"/>
  <c r="DI45" i="1" s="1"/>
  <c r="Q45" i="1"/>
  <c r="E45" i="1"/>
  <c r="CP44" i="1"/>
  <c r="CO44" i="1"/>
  <c r="CN44" i="1"/>
  <c r="CM44" i="1"/>
  <c r="CL44" i="1"/>
  <c r="CK44" i="1"/>
  <c r="DC44" i="1" s="1"/>
  <c r="CE44" i="1"/>
  <c r="DB44" i="1" s="1"/>
  <c r="BY44" i="1"/>
  <c r="DA44" i="1" s="1"/>
  <c r="BS44" i="1"/>
  <c r="CZ44" i="1" s="1"/>
  <c r="BM44" i="1"/>
  <c r="CY44" i="1" s="1"/>
  <c r="BG44" i="1"/>
  <c r="CX44" i="1" s="1"/>
  <c r="BA44" i="1"/>
  <c r="CW44" i="1" s="1"/>
  <c r="AU44" i="1"/>
  <c r="CV44" i="1" s="1"/>
  <c r="AO44" i="1"/>
  <c r="CU44" i="1" s="1"/>
  <c r="AI44" i="1"/>
  <c r="CT44" i="1" s="1"/>
  <c r="AC44" i="1"/>
  <c r="CS44" i="1" s="1"/>
  <c r="W44" i="1"/>
  <c r="CR44" i="1" s="1"/>
  <c r="DI44" i="1" s="1"/>
  <c r="Q44" i="1"/>
  <c r="E44" i="1"/>
  <c r="CP43" i="1"/>
  <c r="CO43" i="1"/>
  <c r="CN43" i="1"/>
  <c r="CM43" i="1"/>
  <c r="CL43" i="1"/>
  <c r="CK43" i="1"/>
  <c r="DC43" i="1" s="1"/>
  <c r="CE43" i="1"/>
  <c r="DB43" i="1" s="1"/>
  <c r="BY43" i="1"/>
  <c r="DA43" i="1" s="1"/>
  <c r="BS43" i="1"/>
  <c r="CZ43" i="1" s="1"/>
  <c r="BM43" i="1"/>
  <c r="CY43" i="1" s="1"/>
  <c r="BG43" i="1"/>
  <c r="CX43" i="1" s="1"/>
  <c r="BA43" i="1"/>
  <c r="CW43" i="1" s="1"/>
  <c r="AU43" i="1"/>
  <c r="CV43" i="1" s="1"/>
  <c r="AO43" i="1"/>
  <c r="CU43" i="1" s="1"/>
  <c r="AI43" i="1"/>
  <c r="CT43" i="1" s="1"/>
  <c r="AC43" i="1"/>
  <c r="CS43" i="1" s="1"/>
  <c r="W43" i="1"/>
  <c r="CR43" i="1" s="1"/>
  <c r="DI43" i="1" s="1"/>
  <c r="Q43" i="1"/>
  <c r="E43" i="1"/>
  <c r="CP42" i="1"/>
  <c r="CO42" i="1"/>
  <c r="CN42" i="1"/>
  <c r="CM42" i="1"/>
  <c r="CL42" i="1"/>
  <c r="CK42" i="1"/>
  <c r="DC42" i="1" s="1"/>
  <c r="CE42" i="1"/>
  <c r="DB42" i="1" s="1"/>
  <c r="BY42" i="1"/>
  <c r="DA42" i="1" s="1"/>
  <c r="BS42" i="1"/>
  <c r="CZ42" i="1" s="1"/>
  <c r="BM42" i="1"/>
  <c r="CY42" i="1" s="1"/>
  <c r="BG42" i="1"/>
  <c r="CX42" i="1" s="1"/>
  <c r="BA42" i="1"/>
  <c r="CW42" i="1" s="1"/>
  <c r="AU42" i="1"/>
  <c r="CV42" i="1" s="1"/>
  <c r="AO42" i="1"/>
  <c r="CU42" i="1" s="1"/>
  <c r="AI42" i="1"/>
  <c r="CT42" i="1" s="1"/>
  <c r="AC42" i="1"/>
  <c r="CS42" i="1" s="1"/>
  <c r="W42" i="1"/>
  <c r="CR42" i="1" s="1"/>
  <c r="DI42" i="1" s="1"/>
  <c r="Q42" i="1"/>
  <c r="E42" i="1"/>
  <c r="CP41" i="1"/>
  <c r="CO41" i="1"/>
  <c r="CN41" i="1"/>
  <c r="CM41" i="1"/>
  <c r="CL41" i="1"/>
  <c r="CK41" i="1"/>
  <c r="DC41" i="1" s="1"/>
  <c r="CE41" i="1"/>
  <c r="DB41" i="1" s="1"/>
  <c r="BY41" i="1"/>
  <c r="DA41" i="1" s="1"/>
  <c r="BS41" i="1"/>
  <c r="CZ41" i="1" s="1"/>
  <c r="BM41" i="1"/>
  <c r="CY41" i="1" s="1"/>
  <c r="BG41" i="1"/>
  <c r="CX41" i="1" s="1"/>
  <c r="BA41" i="1"/>
  <c r="CW41" i="1" s="1"/>
  <c r="AU41" i="1"/>
  <c r="CV41" i="1" s="1"/>
  <c r="AO41" i="1"/>
  <c r="CU41" i="1" s="1"/>
  <c r="AI41" i="1"/>
  <c r="CT41" i="1" s="1"/>
  <c r="AC41" i="1"/>
  <c r="CS41" i="1" s="1"/>
  <c r="W41" i="1"/>
  <c r="CR41" i="1" s="1"/>
  <c r="DI41" i="1" s="1"/>
  <c r="Q41" i="1"/>
  <c r="E41" i="1"/>
  <c r="CP40" i="1"/>
  <c r="CO40" i="1"/>
  <c r="CN40" i="1"/>
  <c r="CM40" i="1"/>
  <c r="CL40" i="1"/>
  <c r="CK40" i="1"/>
  <c r="DC40" i="1" s="1"/>
  <c r="CE40" i="1"/>
  <c r="DB40" i="1" s="1"/>
  <c r="BY40" i="1"/>
  <c r="DA40" i="1" s="1"/>
  <c r="BS40" i="1"/>
  <c r="BM40" i="1"/>
  <c r="CY40" i="1" s="1"/>
  <c r="BG40" i="1"/>
  <c r="CX40" i="1" s="1"/>
  <c r="BA40" i="1"/>
  <c r="CW40" i="1" s="1"/>
  <c r="AU40" i="1"/>
  <c r="AO40" i="1"/>
  <c r="CU40" i="1" s="1"/>
  <c r="AI40" i="1"/>
  <c r="CT40" i="1" s="1"/>
  <c r="AC40" i="1"/>
  <c r="CS40" i="1" s="1"/>
  <c r="W40" i="1"/>
  <c r="Q40" i="1"/>
  <c r="E40" i="1"/>
  <c r="CP39" i="1"/>
  <c r="CO39" i="1"/>
  <c r="CN39" i="1"/>
  <c r="CM39" i="1"/>
  <c r="CL39" i="1"/>
  <c r="CK39" i="1"/>
  <c r="DC39" i="1" s="1"/>
  <c r="CE39" i="1"/>
  <c r="DB39" i="1" s="1"/>
  <c r="BY39" i="1"/>
  <c r="DA39" i="1" s="1"/>
  <c r="BS39" i="1"/>
  <c r="CZ39" i="1" s="1"/>
  <c r="BM39" i="1"/>
  <c r="CY39" i="1" s="1"/>
  <c r="BG39" i="1"/>
  <c r="CX39" i="1" s="1"/>
  <c r="BA39" i="1"/>
  <c r="CW39" i="1" s="1"/>
  <c r="AU39" i="1"/>
  <c r="CV39" i="1" s="1"/>
  <c r="AO39" i="1"/>
  <c r="CU39" i="1" s="1"/>
  <c r="AI39" i="1"/>
  <c r="CT39" i="1" s="1"/>
  <c r="AC39" i="1"/>
  <c r="W39" i="1"/>
  <c r="CR39" i="1" s="1"/>
  <c r="DI39" i="1" s="1"/>
  <c r="Q39" i="1"/>
  <c r="E39" i="1"/>
  <c r="CP38" i="1"/>
  <c r="CO38" i="1"/>
  <c r="CN38" i="1"/>
  <c r="CM38" i="1"/>
  <c r="CL38" i="1"/>
  <c r="CK38" i="1"/>
  <c r="DC38" i="1" s="1"/>
  <c r="CE38" i="1"/>
  <c r="BY38" i="1"/>
  <c r="DA38" i="1" s="1"/>
  <c r="BS38" i="1"/>
  <c r="CZ38" i="1" s="1"/>
  <c r="BM38" i="1"/>
  <c r="CY38" i="1" s="1"/>
  <c r="BG38" i="1"/>
  <c r="BA38" i="1"/>
  <c r="CW38" i="1" s="1"/>
  <c r="AU38" i="1"/>
  <c r="CV38" i="1" s="1"/>
  <c r="AO38" i="1"/>
  <c r="CU38" i="1" s="1"/>
  <c r="AI38" i="1"/>
  <c r="AC38" i="1"/>
  <c r="CS38" i="1" s="1"/>
  <c r="W38" i="1"/>
  <c r="Q38" i="1"/>
  <c r="E38" i="1"/>
  <c r="CP37" i="1"/>
  <c r="CO37" i="1"/>
  <c r="CN37" i="1"/>
  <c r="CM37" i="1"/>
  <c r="CL37" i="1"/>
  <c r="CK37" i="1"/>
  <c r="CE37" i="1"/>
  <c r="DB37" i="1" s="1"/>
  <c r="BY37" i="1"/>
  <c r="DA37" i="1" s="1"/>
  <c r="BS37" i="1"/>
  <c r="CZ37" i="1" s="1"/>
  <c r="BM37" i="1"/>
  <c r="BG37" i="1"/>
  <c r="CX37" i="1" s="1"/>
  <c r="BA37" i="1"/>
  <c r="CW37" i="1" s="1"/>
  <c r="AU37" i="1"/>
  <c r="CV37" i="1" s="1"/>
  <c r="AO37" i="1"/>
  <c r="CU37" i="1" s="1"/>
  <c r="AI37" i="1"/>
  <c r="CT37" i="1" s="1"/>
  <c r="AC37" i="1"/>
  <c r="W37" i="1"/>
  <c r="CR37" i="1" s="1"/>
  <c r="DI37" i="1" s="1"/>
  <c r="Q37" i="1"/>
  <c r="E37" i="1"/>
  <c r="CP34" i="1"/>
  <c r="CO34" i="1"/>
  <c r="CN34" i="1"/>
  <c r="CM34" i="1"/>
  <c r="CL34" i="1"/>
  <c r="CK34" i="1"/>
  <c r="DC34" i="1" s="1"/>
  <c r="CE34" i="1"/>
  <c r="DB34" i="1" s="1"/>
  <c r="BY34" i="1"/>
  <c r="DA34" i="1" s="1"/>
  <c r="BS34" i="1"/>
  <c r="CZ34" i="1" s="1"/>
  <c r="BM34" i="1"/>
  <c r="CY34" i="1" s="1"/>
  <c r="BG34" i="1"/>
  <c r="CX34" i="1" s="1"/>
  <c r="BA34" i="1"/>
  <c r="CW34" i="1" s="1"/>
  <c r="AU34" i="1"/>
  <c r="CV34" i="1" s="1"/>
  <c r="AO34" i="1"/>
  <c r="CU34" i="1" s="1"/>
  <c r="AI34" i="1"/>
  <c r="CT34" i="1" s="1"/>
  <c r="AC34" i="1"/>
  <c r="CS34" i="1" s="1"/>
  <c r="W34" i="1"/>
  <c r="CR34" i="1" s="1"/>
  <c r="DI34" i="1" s="1"/>
  <c r="Q34" i="1"/>
  <c r="E34" i="1"/>
  <c r="CP33" i="1"/>
  <c r="CO33" i="1"/>
  <c r="CN33" i="1"/>
  <c r="CK33" i="1"/>
  <c r="CE33" i="1"/>
  <c r="DB33" i="1" s="1"/>
  <c r="BY33" i="1"/>
  <c r="DA33" i="1" s="1"/>
  <c r="BS33" i="1"/>
  <c r="BM33" i="1"/>
  <c r="BG33" i="1"/>
  <c r="CX33" i="1" s="1"/>
  <c r="BA33" i="1"/>
  <c r="AU33" i="1"/>
  <c r="AO33" i="1"/>
  <c r="CU33" i="1" s="1"/>
  <c r="AI33" i="1"/>
  <c r="CT33" i="1" s="1"/>
  <c r="Q33" i="1"/>
  <c r="E33" i="1"/>
  <c r="P30" i="1"/>
  <c r="O30" i="1"/>
  <c r="N30" i="1"/>
  <c r="M30" i="1"/>
  <c r="L30" i="1"/>
  <c r="E30" i="1"/>
  <c r="Q29" i="1"/>
  <c r="CP28" i="1"/>
  <c r="CO28" i="1"/>
  <c r="CN28" i="1"/>
  <c r="CM28" i="1"/>
  <c r="CL28" i="1"/>
  <c r="CK28" i="1"/>
  <c r="DC28" i="1" s="1"/>
  <c r="CE28" i="1"/>
  <c r="DB28" i="1" s="1"/>
  <c r="BY28" i="1"/>
  <c r="DA28" i="1" s="1"/>
  <c r="BS28" i="1"/>
  <c r="CZ28" i="1" s="1"/>
  <c r="BM28" i="1"/>
  <c r="CY28" i="1" s="1"/>
  <c r="BG28" i="1"/>
  <c r="CX28" i="1" s="1"/>
  <c r="BA28" i="1"/>
  <c r="CW28" i="1" s="1"/>
  <c r="AU28" i="1"/>
  <c r="CV28" i="1" s="1"/>
  <c r="AO28" i="1"/>
  <c r="CU28" i="1" s="1"/>
  <c r="AI28" i="1"/>
  <c r="CT28" i="1" s="1"/>
  <c r="AC28" i="1"/>
  <c r="CS28" i="1" s="1"/>
  <c r="W28" i="1"/>
  <c r="Q28" i="1"/>
  <c r="CP27" i="1"/>
  <c r="CO27" i="1"/>
  <c r="CN27" i="1"/>
  <c r="CM27" i="1"/>
  <c r="CL27" i="1"/>
  <c r="CK27" i="1"/>
  <c r="DC27" i="1" s="1"/>
  <c r="CE27" i="1"/>
  <c r="DB27" i="1" s="1"/>
  <c r="BY27" i="1"/>
  <c r="DA27" i="1" s="1"/>
  <c r="BS27" i="1"/>
  <c r="CZ27" i="1" s="1"/>
  <c r="BM27" i="1"/>
  <c r="CY27" i="1" s="1"/>
  <c r="BG27" i="1"/>
  <c r="CX27" i="1" s="1"/>
  <c r="BA27" i="1"/>
  <c r="CW27" i="1" s="1"/>
  <c r="AU27" i="1"/>
  <c r="CV27" i="1" s="1"/>
  <c r="AO27" i="1"/>
  <c r="CU27" i="1" s="1"/>
  <c r="AI27" i="1"/>
  <c r="CT27" i="1" s="1"/>
  <c r="AC27" i="1"/>
  <c r="CS27" i="1" s="1"/>
  <c r="W27" i="1"/>
  <c r="Q27" i="1"/>
  <c r="H89" i="2" s="1"/>
  <c r="CP26" i="1"/>
  <c r="CO26" i="1"/>
  <c r="CN26" i="1"/>
  <c r="CM26" i="1"/>
  <c r="CL26" i="1"/>
  <c r="CK26" i="1"/>
  <c r="DC26" i="1" s="1"/>
  <c r="CE26" i="1"/>
  <c r="DB26" i="1" s="1"/>
  <c r="BY26" i="1"/>
  <c r="DA26" i="1" s="1"/>
  <c r="BS26" i="1"/>
  <c r="CZ26" i="1" s="1"/>
  <c r="BM26" i="1"/>
  <c r="CY26" i="1" s="1"/>
  <c r="BG26" i="1"/>
  <c r="CX26" i="1" s="1"/>
  <c r="BA26" i="1"/>
  <c r="CW26" i="1" s="1"/>
  <c r="AU26" i="1"/>
  <c r="CV26" i="1" s="1"/>
  <c r="AO26" i="1"/>
  <c r="CU26" i="1" s="1"/>
  <c r="AI26" i="1"/>
  <c r="CT26" i="1" s="1"/>
  <c r="AC26" i="1"/>
  <c r="CS26" i="1" s="1"/>
  <c r="W26" i="1"/>
  <c r="Q26" i="1"/>
  <c r="CP25" i="1"/>
  <c r="CO25" i="1"/>
  <c r="CN25" i="1"/>
  <c r="CM25" i="1"/>
  <c r="CL25" i="1"/>
  <c r="CK25" i="1"/>
  <c r="DC25" i="1" s="1"/>
  <c r="CE25" i="1"/>
  <c r="DB25" i="1" s="1"/>
  <c r="BY25" i="1"/>
  <c r="DA25" i="1" s="1"/>
  <c r="BS25" i="1"/>
  <c r="CZ25" i="1" s="1"/>
  <c r="BM25" i="1"/>
  <c r="CY25" i="1" s="1"/>
  <c r="BG25" i="1"/>
  <c r="CX25" i="1" s="1"/>
  <c r="BA25" i="1"/>
  <c r="CW25" i="1" s="1"/>
  <c r="AU25" i="1"/>
  <c r="CV25" i="1" s="1"/>
  <c r="AO25" i="1"/>
  <c r="CU25" i="1" s="1"/>
  <c r="AI25" i="1"/>
  <c r="CT25" i="1" s="1"/>
  <c r="AC25" i="1"/>
  <c r="CS25" i="1" s="1"/>
  <c r="W25" i="1"/>
  <c r="Q25" i="1"/>
  <c r="H46" i="2" s="1"/>
  <c r="CP24" i="1"/>
  <c r="CO24" i="1"/>
  <c r="CN24" i="1"/>
  <c r="CM24" i="1"/>
  <c r="CL24" i="1"/>
  <c r="CK24" i="1"/>
  <c r="DC24" i="1" s="1"/>
  <c r="CE24" i="1"/>
  <c r="DB24" i="1" s="1"/>
  <c r="BS24" i="1"/>
  <c r="CZ24" i="1" s="1"/>
  <c r="BM24" i="1"/>
  <c r="CY24" i="1" s="1"/>
  <c r="BG24" i="1"/>
  <c r="CX24" i="1" s="1"/>
  <c r="BA24" i="1"/>
  <c r="CW24" i="1" s="1"/>
  <c r="AU24" i="1"/>
  <c r="CV24" i="1" s="1"/>
  <c r="AO24" i="1"/>
  <c r="CU24" i="1" s="1"/>
  <c r="AI24" i="1"/>
  <c r="CT24" i="1" s="1"/>
  <c r="AC24" i="1"/>
  <c r="CS24" i="1" s="1"/>
  <c r="W24" i="1"/>
  <c r="Q24" i="1"/>
  <c r="CP23" i="1"/>
  <c r="CO23" i="1"/>
  <c r="CN23" i="1"/>
  <c r="CM23" i="1"/>
  <c r="CL23" i="1"/>
  <c r="CK23" i="1"/>
  <c r="DC23" i="1" s="1"/>
  <c r="CE23" i="1"/>
  <c r="DB23" i="1" s="1"/>
  <c r="DA23" i="1"/>
  <c r="BS23" i="1"/>
  <c r="CZ23" i="1" s="1"/>
  <c r="BM23" i="1"/>
  <c r="CY23" i="1" s="1"/>
  <c r="BG23" i="1"/>
  <c r="CX23" i="1" s="1"/>
  <c r="BA23" i="1"/>
  <c r="CW23" i="1" s="1"/>
  <c r="AU23" i="1"/>
  <c r="AO23" i="1"/>
  <c r="CU23" i="1" s="1"/>
  <c r="AI23" i="1"/>
  <c r="CT23" i="1" s="1"/>
  <c r="AC23" i="1"/>
  <c r="CS23" i="1" s="1"/>
  <c r="W23" i="1"/>
  <c r="Q23" i="1"/>
  <c r="CJ20" i="1"/>
  <c r="CI20" i="1"/>
  <c r="CH20" i="1"/>
  <c r="CF20" i="1"/>
  <c r="CD20" i="1"/>
  <c r="CC20" i="1"/>
  <c r="CB20" i="1"/>
  <c r="BZ20" i="1"/>
  <c r="BX20" i="1"/>
  <c r="BW20" i="1"/>
  <c r="BV20" i="1"/>
  <c r="BT20" i="1"/>
  <c r="BR20" i="1"/>
  <c r="BQ20" i="1"/>
  <c r="BP20" i="1"/>
  <c r="BN20" i="1"/>
  <c r="BL20" i="1"/>
  <c r="BK20" i="1"/>
  <c r="BJ20" i="1"/>
  <c r="BH20" i="1"/>
  <c r="BF20" i="1"/>
  <c r="BE20" i="1"/>
  <c r="BD20" i="1"/>
  <c r="BB20" i="1"/>
  <c r="AZ20" i="1"/>
  <c r="AY20" i="1"/>
  <c r="AX20" i="1"/>
  <c r="AV20" i="1"/>
  <c r="AT20" i="1"/>
  <c r="AS20" i="1"/>
  <c r="AR20" i="1"/>
  <c r="AN20" i="1"/>
  <c r="AM20" i="1"/>
  <c r="AL20" i="1"/>
  <c r="AK20" i="1"/>
  <c r="AJ20" i="1"/>
  <c r="AH20" i="1"/>
  <c r="AG20" i="1"/>
  <c r="AF20" i="1"/>
  <c r="AE20" i="1"/>
  <c r="AD20" i="1"/>
  <c r="AB20" i="1"/>
  <c r="AA20" i="1"/>
  <c r="Z20" i="1"/>
  <c r="Y20" i="1"/>
  <c r="X20" i="1"/>
  <c r="V20" i="1"/>
  <c r="U20" i="1"/>
  <c r="T20" i="1"/>
  <c r="S20" i="1"/>
  <c r="S79" i="1" s="1"/>
  <c r="S83" i="1" s="1"/>
  <c r="R20" i="1"/>
  <c r="P20" i="1"/>
  <c r="O20" i="1"/>
  <c r="N20" i="1"/>
  <c r="M20" i="1"/>
  <c r="L20" i="1"/>
  <c r="K20" i="1"/>
  <c r="E20" i="1"/>
  <c r="CP19" i="1"/>
  <c r="CO19" i="1"/>
  <c r="CN19" i="1"/>
  <c r="CM19" i="1"/>
  <c r="CL19" i="1"/>
  <c r="CK19" i="1"/>
  <c r="DC19" i="1" s="1"/>
  <c r="CE19" i="1"/>
  <c r="DB19" i="1" s="1"/>
  <c r="BY19" i="1"/>
  <c r="DA19" i="1" s="1"/>
  <c r="BS19" i="1"/>
  <c r="CZ19" i="1" s="1"/>
  <c r="BM19" i="1"/>
  <c r="CY19" i="1" s="1"/>
  <c r="BG19" i="1"/>
  <c r="CX19" i="1" s="1"/>
  <c r="BA19" i="1"/>
  <c r="CW19" i="1" s="1"/>
  <c r="AU19" i="1"/>
  <c r="CV19" i="1" s="1"/>
  <c r="AO19" i="1"/>
  <c r="CU19" i="1" s="1"/>
  <c r="AI19" i="1"/>
  <c r="CT19" i="1" s="1"/>
  <c r="AC19" i="1"/>
  <c r="W19" i="1"/>
  <c r="CR19" i="1" s="1"/>
  <c r="DI19" i="1" s="1"/>
  <c r="Q19" i="1"/>
  <c r="CP18" i="1"/>
  <c r="CO18" i="1"/>
  <c r="CN18" i="1"/>
  <c r="CM18" i="1"/>
  <c r="CL18" i="1"/>
  <c r="CK18" i="1"/>
  <c r="DC18" i="1" s="1"/>
  <c r="CE18" i="1"/>
  <c r="DB18" i="1" s="1"/>
  <c r="BY18" i="1"/>
  <c r="DA18" i="1" s="1"/>
  <c r="BS18" i="1"/>
  <c r="CZ18" i="1" s="1"/>
  <c r="BM18" i="1"/>
  <c r="CY18" i="1" s="1"/>
  <c r="BG18" i="1"/>
  <c r="CX18" i="1" s="1"/>
  <c r="BA18" i="1"/>
  <c r="CW18" i="1" s="1"/>
  <c r="AU18" i="1"/>
  <c r="CV18" i="1" s="1"/>
  <c r="AO18" i="1"/>
  <c r="CU18" i="1" s="1"/>
  <c r="AI18" i="1"/>
  <c r="CT18" i="1" s="1"/>
  <c r="AC18" i="1"/>
  <c r="CS18" i="1" s="1"/>
  <c r="W18" i="1"/>
  <c r="CR18" i="1" s="1"/>
  <c r="DI18" i="1" s="1"/>
  <c r="Q18" i="1"/>
  <c r="E18" i="1"/>
  <c r="CP17" i="1"/>
  <c r="CO17" i="1"/>
  <c r="CN17" i="1"/>
  <c r="CM17" i="1"/>
  <c r="CL17" i="1"/>
  <c r="CK17" i="1"/>
  <c r="DC17" i="1" s="1"/>
  <c r="CE17" i="1"/>
  <c r="DB17" i="1" s="1"/>
  <c r="BY17" i="1"/>
  <c r="DA17" i="1" s="1"/>
  <c r="BS17" i="1"/>
  <c r="CZ17" i="1" s="1"/>
  <c r="BM17" i="1"/>
  <c r="CY17" i="1" s="1"/>
  <c r="BG17" i="1"/>
  <c r="CX17" i="1" s="1"/>
  <c r="BA17" i="1"/>
  <c r="CW17" i="1" s="1"/>
  <c r="AU17" i="1"/>
  <c r="CV17" i="1" s="1"/>
  <c r="AO17" i="1"/>
  <c r="CU17" i="1" s="1"/>
  <c r="AI17" i="1"/>
  <c r="CT17" i="1" s="1"/>
  <c r="AC17" i="1"/>
  <c r="CS17" i="1" s="1"/>
  <c r="W17" i="1"/>
  <c r="CR17" i="1" s="1"/>
  <c r="DI17" i="1" s="1"/>
  <c r="Q17" i="1"/>
  <c r="E17" i="1"/>
  <c r="DG16" i="1"/>
  <c r="DG17" i="1" s="1"/>
  <c r="CP16" i="1"/>
  <c r="CO16" i="1"/>
  <c r="CN16" i="1"/>
  <c r="CM16" i="1"/>
  <c r="CL16" i="1"/>
  <c r="CK16" i="1"/>
  <c r="DC16" i="1" s="1"/>
  <c r="CE16" i="1"/>
  <c r="BY16" i="1"/>
  <c r="DA16" i="1" s="1"/>
  <c r="BS16" i="1"/>
  <c r="CZ16" i="1" s="1"/>
  <c r="BM16" i="1"/>
  <c r="CY16" i="1" s="1"/>
  <c r="BG16" i="1"/>
  <c r="BA16" i="1"/>
  <c r="CW16" i="1" s="1"/>
  <c r="AU16" i="1"/>
  <c r="CV16" i="1" s="1"/>
  <c r="AO16" i="1"/>
  <c r="CU16" i="1" s="1"/>
  <c r="AI16" i="1"/>
  <c r="AC16" i="1"/>
  <c r="CS16" i="1" s="1"/>
  <c r="W16" i="1"/>
  <c r="CR16" i="1" s="1"/>
  <c r="DI16" i="1" s="1"/>
  <c r="Q16" i="1"/>
  <c r="E16" i="1"/>
  <c r="CP15" i="1"/>
  <c r="CO15" i="1"/>
  <c r="CN15" i="1"/>
  <c r="CL15" i="1"/>
  <c r="AO15" i="1"/>
  <c r="AI15" i="1"/>
  <c r="CT15" i="1" s="1"/>
  <c r="AC15" i="1"/>
  <c r="W15" i="1"/>
  <c r="Q15" i="1"/>
  <c r="E15" i="1"/>
  <c r="CP13" i="1"/>
  <c r="CO13" i="1"/>
  <c r="CN13" i="1"/>
  <c r="CM13" i="1"/>
  <c r="CL13" i="1"/>
  <c r="W13" i="1"/>
  <c r="CR13" i="1" s="1"/>
  <c r="DI13" i="1" s="1"/>
  <c r="DJ13" i="1" s="1"/>
  <c r="DK13" i="1" s="1"/>
  <c r="DL13" i="1" s="1"/>
  <c r="DM13" i="1" s="1"/>
  <c r="DN13" i="1" s="1"/>
  <c r="DO13" i="1" s="1"/>
  <c r="DP13" i="1" s="1"/>
  <c r="DQ13" i="1" s="1"/>
  <c r="DR13" i="1" s="1"/>
  <c r="DS13" i="1" s="1"/>
  <c r="DT13" i="1" s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DA67" i="1" l="1"/>
  <c r="R68" i="2" s="1"/>
  <c r="DA24" i="1"/>
  <c r="R87" i="2" s="1"/>
  <c r="DC67" i="1"/>
  <c r="T68" i="2" s="1"/>
  <c r="DB67" i="1"/>
  <c r="S68" i="2" s="1"/>
  <c r="W79" i="1"/>
  <c r="CR79" i="1" s="1"/>
  <c r="DI79" i="1" s="1"/>
  <c r="CM79" i="1"/>
  <c r="E62" i="2"/>
  <c r="T114" i="2"/>
  <c r="R114" i="2"/>
  <c r="P114" i="2"/>
  <c r="N114" i="2"/>
  <c r="L114" i="2"/>
  <c r="J114" i="2"/>
  <c r="S110" i="2"/>
  <c r="Q110" i="2"/>
  <c r="O110" i="2"/>
  <c r="M110" i="2"/>
  <c r="K110" i="2"/>
  <c r="T109" i="2"/>
  <c r="R109" i="2"/>
  <c r="P109" i="2"/>
  <c r="N109" i="2"/>
  <c r="L109" i="2"/>
  <c r="K108" i="2"/>
  <c r="T107" i="2"/>
  <c r="R107" i="2"/>
  <c r="P107" i="2"/>
  <c r="N107" i="2"/>
  <c r="S89" i="2"/>
  <c r="Q89" i="2"/>
  <c r="O89" i="2"/>
  <c r="M89" i="2"/>
  <c r="K89" i="2"/>
  <c r="T88" i="2"/>
  <c r="R88" i="2"/>
  <c r="P88" i="2"/>
  <c r="N88" i="2"/>
  <c r="L88" i="2"/>
  <c r="J88" i="2"/>
  <c r="S87" i="2"/>
  <c r="Q87" i="2"/>
  <c r="O87" i="2"/>
  <c r="M87" i="2"/>
  <c r="K87" i="2"/>
  <c r="S81" i="2"/>
  <c r="Q114" i="2"/>
  <c r="M114" i="2"/>
  <c r="T110" i="2"/>
  <c r="P110" i="2"/>
  <c r="L110" i="2"/>
  <c r="S109" i="2"/>
  <c r="O109" i="2"/>
  <c r="J108" i="2"/>
  <c r="Q107" i="2"/>
  <c r="R89" i="2"/>
  <c r="N89" i="2"/>
  <c r="J89" i="2"/>
  <c r="Q88" i="2"/>
  <c r="M88" i="2"/>
  <c r="T87" i="2"/>
  <c r="P87" i="2"/>
  <c r="L87" i="2"/>
  <c r="R81" i="2"/>
  <c r="P81" i="2"/>
  <c r="N81" i="2"/>
  <c r="L81" i="2"/>
  <c r="T78" i="2"/>
  <c r="R78" i="2"/>
  <c r="P78" i="2"/>
  <c r="N78" i="2"/>
  <c r="L78" i="2"/>
  <c r="J78" i="2"/>
  <c r="S77" i="2"/>
  <c r="Q77" i="2"/>
  <c r="O77" i="2"/>
  <c r="M77" i="2"/>
  <c r="K77" i="2"/>
  <c r="S70" i="2"/>
  <c r="Q70" i="2"/>
  <c r="O70" i="2"/>
  <c r="M70" i="2"/>
  <c r="K70" i="2"/>
  <c r="T69" i="2"/>
  <c r="R69" i="2"/>
  <c r="P69" i="2"/>
  <c r="N69" i="2"/>
  <c r="L69" i="2"/>
  <c r="K68" i="2"/>
  <c r="S46" i="2"/>
  <c r="Q46" i="2"/>
  <c r="O46" i="2"/>
  <c r="M46" i="2"/>
  <c r="K46" i="2"/>
  <c r="T45" i="2"/>
  <c r="R45" i="2"/>
  <c r="P45" i="2"/>
  <c r="N45" i="2"/>
  <c r="L45" i="2"/>
  <c r="J45" i="2"/>
  <c r="S39" i="2"/>
  <c r="Q39" i="2"/>
  <c r="O39" i="2"/>
  <c r="M39" i="2"/>
  <c r="K39" i="2"/>
  <c r="T38" i="2"/>
  <c r="R38" i="2"/>
  <c r="P38" i="2"/>
  <c r="N38" i="2"/>
  <c r="L38" i="2"/>
  <c r="J38" i="2"/>
  <c r="S35" i="2"/>
  <c r="Q35" i="2"/>
  <c r="O35" i="2"/>
  <c r="K35" i="2"/>
  <c r="T29" i="2"/>
  <c r="R29" i="2"/>
  <c r="P29" i="2"/>
  <c r="N29" i="2"/>
  <c r="L29" i="2"/>
  <c r="J29" i="2"/>
  <c r="S28" i="2"/>
  <c r="Q28" i="2"/>
  <c r="O28" i="2"/>
  <c r="M28" i="2"/>
  <c r="K28" i="2"/>
  <c r="T27" i="2"/>
  <c r="R27" i="2"/>
  <c r="P27" i="2"/>
  <c r="N27" i="2"/>
  <c r="L27" i="2"/>
  <c r="S114" i="2"/>
  <c r="K114" i="2"/>
  <c r="N110" i="2"/>
  <c r="Q109" i="2"/>
  <c r="L108" i="2"/>
  <c r="O107" i="2"/>
  <c r="T89" i="2"/>
  <c r="L89" i="2"/>
  <c r="O88" i="2"/>
  <c r="J87" i="2"/>
  <c r="T81" i="2"/>
  <c r="O81" i="2"/>
  <c r="Q78" i="2"/>
  <c r="M78" i="2"/>
  <c r="T77" i="2"/>
  <c r="P77" i="2"/>
  <c r="L77" i="2"/>
  <c r="T70" i="2"/>
  <c r="P70" i="2"/>
  <c r="L70" i="2"/>
  <c r="T46" i="2"/>
  <c r="P46" i="2"/>
  <c r="L46" i="2"/>
  <c r="S45" i="2"/>
  <c r="O45" i="2"/>
  <c r="K45" i="2"/>
  <c r="R39" i="2"/>
  <c r="N39" i="2"/>
  <c r="Q38" i="2"/>
  <c r="M38" i="2"/>
  <c r="T35" i="2"/>
  <c r="P35" i="2"/>
  <c r="L35" i="2"/>
  <c r="Q29" i="2"/>
  <c r="M29" i="2"/>
  <c r="T28" i="2"/>
  <c r="P28" i="2"/>
  <c r="L28" i="2"/>
  <c r="S27" i="2"/>
  <c r="O27" i="2"/>
  <c r="K27" i="2"/>
  <c r="S26" i="2"/>
  <c r="Q26" i="2"/>
  <c r="O26" i="2"/>
  <c r="M26" i="2"/>
  <c r="K26" i="2"/>
  <c r="T25" i="2"/>
  <c r="R25" i="2"/>
  <c r="P25" i="2"/>
  <c r="N25" i="2"/>
  <c r="L25" i="2"/>
  <c r="J25" i="2"/>
  <c r="S24" i="2"/>
  <c r="O24" i="2"/>
  <c r="K24" i="2"/>
  <c r="T23" i="2"/>
  <c r="R23" i="2"/>
  <c r="P23" i="2"/>
  <c r="N23" i="2"/>
  <c r="L23" i="2"/>
  <c r="Q22" i="2"/>
  <c r="M22" i="2"/>
  <c r="R21" i="2"/>
  <c r="N21" i="2"/>
  <c r="S19" i="2"/>
  <c r="Q19" i="2"/>
  <c r="O19" i="2"/>
  <c r="M19" i="2"/>
  <c r="K19" i="2"/>
  <c r="R18" i="2"/>
  <c r="S14" i="2"/>
  <c r="Q14" i="2"/>
  <c r="O14" i="2"/>
  <c r="M14" i="2"/>
  <c r="K14" i="2"/>
  <c r="T13" i="2"/>
  <c r="R13" i="2"/>
  <c r="P13" i="2"/>
  <c r="N13" i="2"/>
  <c r="L13" i="2"/>
  <c r="J13" i="2"/>
  <c r="S12" i="2"/>
  <c r="Q12" i="2"/>
  <c r="O12" i="2"/>
  <c r="M12" i="2"/>
  <c r="K12" i="2"/>
  <c r="T11" i="2"/>
  <c r="R11" i="2"/>
  <c r="P11" i="2"/>
  <c r="N11" i="2"/>
  <c r="L11" i="2"/>
  <c r="J11" i="2"/>
  <c r="I77" i="2"/>
  <c r="I69" i="2"/>
  <c r="I38" i="2"/>
  <c r="I27" i="2"/>
  <c r="I23" i="2"/>
  <c r="I13" i="2"/>
  <c r="I11" i="2"/>
  <c r="O114" i="2"/>
  <c r="R110" i="2"/>
  <c r="J110" i="2"/>
  <c r="M109" i="2"/>
  <c r="S107" i="2"/>
  <c r="P89" i="2"/>
  <c r="S88" i="2"/>
  <c r="K88" i="2"/>
  <c r="N87" i="2"/>
  <c r="Q81" i="2"/>
  <c r="M81" i="2"/>
  <c r="S78" i="2"/>
  <c r="O78" i="2"/>
  <c r="K78" i="2"/>
  <c r="R77" i="2"/>
  <c r="N77" i="2"/>
  <c r="J77" i="2"/>
  <c r="R70" i="2"/>
  <c r="N70" i="2"/>
  <c r="J70" i="2"/>
  <c r="Q69" i="2"/>
  <c r="M69" i="2"/>
  <c r="R46" i="2"/>
  <c r="N46" i="2"/>
  <c r="J46" i="2"/>
  <c r="Q45" i="2"/>
  <c r="T39" i="2"/>
  <c r="P39" i="2"/>
  <c r="L39" i="2"/>
  <c r="S38" i="2"/>
  <c r="O38" i="2"/>
  <c r="K38" i="2"/>
  <c r="S29" i="2"/>
  <c r="O29" i="2"/>
  <c r="K29" i="2"/>
  <c r="R28" i="2"/>
  <c r="N28" i="2"/>
  <c r="J28" i="2"/>
  <c r="Q27" i="2"/>
  <c r="M27" i="2"/>
  <c r="T26" i="2"/>
  <c r="R26" i="2"/>
  <c r="P26" i="2"/>
  <c r="N26" i="2"/>
  <c r="L26" i="2"/>
  <c r="J26" i="2"/>
  <c r="S25" i="2"/>
  <c r="Q25" i="2"/>
  <c r="O25" i="2"/>
  <c r="M25" i="2"/>
  <c r="K25" i="2"/>
  <c r="T24" i="2"/>
  <c r="R24" i="2"/>
  <c r="P24" i="2"/>
  <c r="N24" i="2"/>
  <c r="L24" i="2"/>
  <c r="J24" i="2"/>
  <c r="S23" i="2"/>
  <c r="Q23" i="2"/>
  <c r="O23" i="2"/>
  <c r="M23" i="2"/>
  <c r="K23" i="2"/>
  <c r="T22" i="2"/>
  <c r="R22" i="2"/>
  <c r="P22" i="2"/>
  <c r="N22" i="2"/>
  <c r="L22" i="2"/>
  <c r="J22" i="2"/>
  <c r="S21" i="2"/>
  <c r="Q21" i="2"/>
  <c r="O21" i="2"/>
  <c r="M21" i="2"/>
  <c r="K21" i="2"/>
  <c r="T19" i="2"/>
  <c r="R19" i="2"/>
  <c r="P19" i="2"/>
  <c r="N19" i="2"/>
  <c r="L19" i="2"/>
  <c r="J19" i="2"/>
  <c r="S18" i="2"/>
  <c r="O18" i="2"/>
  <c r="K18" i="2"/>
  <c r="T14" i="2"/>
  <c r="R14" i="2"/>
  <c r="P14" i="2"/>
  <c r="N14" i="2"/>
  <c r="L14" i="2"/>
  <c r="S13" i="2"/>
  <c r="Q13" i="2"/>
  <c r="O13" i="2"/>
  <c r="M13" i="2"/>
  <c r="K13" i="2"/>
  <c r="T12" i="2"/>
  <c r="R12" i="2"/>
  <c r="P12" i="2"/>
  <c r="N12" i="2"/>
  <c r="L12" i="2"/>
  <c r="J12" i="2"/>
  <c r="Q11" i="2"/>
  <c r="I110" i="2"/>
  <c r="I68" i="2"/>
  <c r="I39" i="2"/>
  <c r="I26" i="2"/>
  <c r="I22" i="2"/>
  <c r="I14" i="2"/>
  <c r="I10" i="2"/>
  <c r="I108" i="2"/>
  <c r="I78" i="2"/>
  <c r="I28" i="2"/>
  <c r="I24" i="2"/>
  <c r="I19" i="2"/>
  <c r="I12" i="2"/>
  <c r="BP59" i="1"/>
  <c r="BP64" i="1" s="1"/>
  <c r="BP110" i="1" s="1"/>
  <c r="M206" i="1"/>
  <c r="M214" i="1" s="1"/>
  <c r="M237" i="1" s="1"/>
  <c r="M241" i="1" s="1"/>
  <c r="R206" i="1"/>
  <c r="R214" i="1" s="1"/>
  <c r="AF206" i="1"/>
  <c r="AF214" i="1" s="1"/>
  <c r="AF238" i="1" s="1"/>
  <c r="AK206" i="1"/>
  <c r="AK214" i="1" s="1"/>
  <c r="AK237" i="1" s="1"/>
  <c r="AK241" i="1" s="1"/>
  <c r="AP206" i="1"/>
  <c r="AP214" i="1" s="1"/>
  <c r="AP236" i="1" s="1"/>
  <c r="AT206" i="1"/>
  <c r="AT214" i="1" s="1"/>
  <c r="AT240" i="1" s="1"/>
  <c r="BD206" i="1"/>
  <c r="BD214" i="1" s="1"/>
  <c r="BD238" i="1" s="1"/>
  <c r="BD241" i="1" s="1"/>
  <c r="BI206" i="1"/>
  <c r="BI214" i="1" s="1"/>
  <c r="BI237" i="1" s="1"/>
  <c r="BI241" i="1" s="1"/>
  <c r="BN206" i="1"/>
  <c r="BN214" i="1" s="1"/>
  <c r="BN236" i="1" s="1"/>
  <c r="BR206" i="1"/>
  <c r="BR214" i="1" s="1"/>
  <c r="CB206" i="1"/>
  <c r="CB214" i="1" s="1"/>
  <c r="CB238" i="1" s="1"/>
  <c r="CG206" i="1"/>
  <c r="CG214" i="1" s="1"/>
  <c r="CG237" i="1" s="1"/>
  <c r="CG241" i="1" s="1"/>
  <c r="DF16" i="1"/>
  <c r="DF13" i="1"/>
  <c r="DF17" i="1"/>
  <c r="CO92" i="1"/>
  <c r="CO103" i="1"/>
  <c r="U206" i="1"/>
  <c r="U214" i="1" s="1"/>
  <c r="U239" i="1" s="1"/>
  <c r="Z206" i="1"/>
  <c r="Z214" i="1" s="1"/>
  <c r="Z238" i="1" s="1"/>
  <c r="AE206" i="1"/>
  <c r="AE214" i="1" s="1"/>
  <c r="AE237" i="1" s="1"/>
  <c r="AJ206" i="1"/>
  <c r="AJ214" i="1" s="1"/>
  <c r="AN206" i="1"/>
  <c r="AN214" i="1" s="1"/>
  <c r="AS206" i="1"/>
  <c r="AS214" i="1" s="1"/>
  <c r="AX206" i="1"/>
  <c r="AX214" i="1" s="1"/>
  <c r="AX238" i="1" s="1"/>
  <c r="BH206" i="1"/>
  <c r="BH214" i="1" s="1"/>
  <c r="BH236" i="1" s="1"/>
  <c r="BM236" i="1" s="1"/>
  <c r="CY236" i="1" s="1"/>
  <c r="BL206" i="1"/>
  <c r="BL214" i="1" s="1"/>
  <c r="BL240" i="1" s="1"/>
  <c r="BM240" i="1" s="1"/>
  <c r="CY240" i="1" s="1"/>
  <c r="BQ206" i="1"/>
  <c r="BQ214" i="1" s="1"/>
  <c r="BQ239" i="1" s="1"/>
  <c r="BV206" i="1"/>
  <c r="BV214" i="1" s="1"/>
  <c r="BV238" i="1" s="1"/>
  <c r="CF206" i="1"/>
  <c r="CF214" i="1" s="1"/>
  <c r="CF236" i="1" s="1"/>
  <c r="CK236" i="1" s="1"/>
  <c r="DC236" i="1" s="1"/>
  <c r="CJ206" i="1"/>
  <c r="CJ214" i="1" s="1"/>
  <c r="CJ240" i="1" s="1"/>
  <c r="CJ241" i="1" s="1"/>
  <c r="B337" i="1"/>
  <c r="B218" i="1"/>
  <c r="BA171" i="1"/>
  <c r="CW171" i="1" s="1"/>
  <c r="BY171" i="1"/>
  <c r="DA171" i="1" s="1"/>
  <c r="AC171" i="1"/>
  <c r="CS171" i="1" s="1"/>
  <c r="W198" i="1"/>
  <c r="CR198" i="1" s="1"/>
  <c r="I75" i="2" s="1"/>
  <c r="B9" i="1"/>
  <c r="B98" i="1"/>
  <c r="Q75" i="1"/>
  <c r="AO75" i="1"/>
  <c r="CU75" i="1" s="1"/>
  <c r="BM75" i="1"/>
  <c r="CY75" i="1" s="1"/>
  <c r="P74" i="2" s="1"/>
  <c r="CK75" i="1"/>
  <c r="DC75" i="1" s="1"/>
  <c r="T74" i="2" s="1"/>
  <c r="BG195" i="1"/>
  <c r="CX195" i="1" s="1"/>
  <c r="B2" i="1"/>
  <c r="DE16" i="1"/>
  <c r="DE17" i="1"/>
  <c r="DE130" i="1"/>
  <c r="DD131" i="1"/>
  <c r="DE15" i="1"/>
  <c r="DE131" i="1"/>
  <c r="DD16" i="1"/>
  <c r="DE13" i="1"/>
  <c r="DD17" i="1"/>
  <c r="DD130" i="1"/>
  <c r="DD13" i="1"/>
  <c r="N1" i="2"/>
  <c r="N7" i="2" s="1"/>
  <c r="N65" i="2" s="1"/>
  <c r="B335" i="1"/>
  <c r="B254" i="1"/>
  <c r="DJ101" i="1"/>
  <c r="DK101" i="1" s="1"/>
  <c r="DL101" i="1" s="1"/>
  <c r="DM101" i="1" s="1"/>
  <c r="DN101" i="1" s="1"/>
  <c r="DO101" i="1" s="1"/>
  <c r="DP101" i="1" s="1"/>
  <c r="DQ101" i="1" s="1"/>
  <c r="DR101" i="1" s="1"/>
  <c r="DS101" i="1" s="1"/>
  <c r="DT101" i="1" s="1"/>
  <c r="B126" i="1"/>
  <c r="G7" i="1"/>
  <c r="DC3" i="1" s="1"/>
  <c r="H19" i="2"/>
  <c r="H24" i="2"/>
  <c r="H68" i="2"/>
  <c r="H10" i="2"/>
  <c r="H14" i="2"/>
  <c r="H115" i="2"/>
  <c r="H18" i="2"/>
  <c r="H23" i="2"/>
  <c r="H27" i="2"/>
  <c r="H28" i="2"/>
  <c r="Q78" i="1"/>
  <c r="AO78" i="1"/>
  <c r="CU78" i="1" s="1"/>
  <c r="BM78" i="1"/>
  <c r="CY78" i="1" s="1"/>
  <c r="P75" i="2" s="1"/>
  <c r="CK78" i="1"/>
  <c r="DC78" i="1" s="1"/>
  <c r="T75" i="2" s="1"/>
  <c r="H108" i="2"/>
  <c r="Q166" i="1"/>
  <c r="AO166" i="1"/>
  <c r="CU166" i="1" s="1"/>
  <c r="Q171" i="1"/>
  <c r="AC195" i="1"/>
  <c r="CS195" i="1" s="1"/>
  <c r="BA195" i="1"/>
  <c r="CW195" i="1" s="1"/>
  <c r="AC198" i="1"/>
  <c r="CS198" i="1" s="1"/>
  <c r="BA198" i="1"/>
  <c r="CW198" i="1" s="1"/>
  <c r="BY198" i="1"/>
  <c r="DA198" i="1" s="1"/>
  <c r="B357" i="1"/>
  <c r="B316" i="1"/>
  <c r="B206" i="1"/>
  <c r="B77" i="1"/>
  <c r="H11" i="2"/>
  <c r="H88" i="2"/>
  <c r="H87" i="2"/>
  <c r="H114" i="2"/>
  <c r="H22" i="2"/>
  <c r="H26" i="2"/>
  <c r="CF59" i="1"/>
  <c r="CF64" i="1" s="1"/>
  <c r="H35" i="2"/>
  <c r="H38" i="2"/>
  <c r="H70" i="2"/>
  <c r="Y86" i="1"/>
  <c r="Y94" i="1" s="1"/>
  <c r="AD86" i="1"/>
  <c r="AD94" i="1" s="1"/>
  <c r="AD116" i="1" s="1"/>
  <c r="AI116" i="1" s="1"/>
  <c r="CT116" i="1" s="1"/>
  <c r="AH86" i="1"/>
  <c r="AH94" i="1" s="1"/>
  <c r="AH120" i="1" s="1"/>
  <c r="AM86" i="1"/>
  <c r="AM94" i="1" s="1"/>
  <c r="AM119" i="1" s="1"/>
  <c r="AR86" i="1"/>
  <c r="AR94" i="1" s="1"/>
  <c r="AW86" i="1"/>
  <c r="AW94" i="1" s="1"/>
  <c r="BB86" i="1"/>
  <c r="BF86" i="1"/>
  <c r="BF94" i="1" s="1"/>
  <c r="BF120" i="1" s="1"/>
  <c r="BU86" i="1"/>
  <c r="BU94" i="1" s="1"/>
  <c r="BZ86" i="1"/>
  <c r="BZ94" i="1" s="1"/>
  <c r="CD86" i="1"/>
  <c r="CD94" i="1" s="1"/>
  <c r="CD120" i="1" s="1"/>
  <c r="CI86" i="1"/>
  <c r="CI94" i="1" s="1"/>
  <c r="CI119" i="1" s="1"/>
  <c r="CK119" i="1" s="1"/>
  <c r="DC119" i="1" s="1"/>
  <c r="T99" i="2" s="1"/>
  <c r="W78" i="1"/>
  <c r="CR78" i="1" s="1"/>
  <c r="DI78" i="1" s="1"/>
  <c r="AU78" i="1"/>
  <c r="CV78" i="1" s="1"/>
  <c r="BS78" i="1"/>
  <c r="CZ78" i="1" s="1"/>
  <c r="Q75" i="2" s="1"/>
  <c r="H78" i="2"/>
  <c r="AU171" i="1"/>
  <c r="CV171" i="1" s="1"/>
  <c r="BS171" i="1"/>
  <c r="CZ171" i="1" s="1"/>
  <c r="BA190" i="1"/>
  <c r="CW190" i="1" s="1"/>
  <c r="B353" i="1"/>
  <c r="B308" i="1"/>
  <c r="B190" i="1"/>
  <c r="B61" i="1"/>
  <c r="H12" i="2"/>
  <c r="H29" i="2"/>
  <c r="H13" i="2"/>
  <c r="H45" i="2"/>
  <c r="H47" i="2" s="1"/>
  <c r="H21" i="2"/>
  <c r="H25" i="2"/>
  <c r="DJ61" i="1"/>
  <c r="DK61" i="1" s="1"/>
  <c r="DL61" i="1" s="1"/>
  <c r="DM61" i="1" s="1"/>
  <c r="DN61" i="1" s="1"/>
  <c r="DO61" i="1" s="1"/>
  <c r="DP61" i="1" s="1"/>
  <c r="DQ61" i="1" s="1"/>
  <c r="DR61" i="1" s="1"/>
  <c r="DS61" i="1" s="1"/>
  <c r="DT61" i="1" s="1"/>
  <c r="H69" i="2"/>
  <c r="H77" i="2"/>
  <c r="H106" i="2"/>
  <c r="H110" i="2"/>
  <c r="AS179" i="1"/>
  <c r="AS184" i="1" s="1"/>
  <c r="AS231" i="1" s="1"/>
  <c r="BQ179" i="1"/>
  <c r="BQ184" i="1" s="1"/>
  <c r="B341" i="1"/>
  <c r="B270" i="1"/>
  <c r="B142" i="1"/>
  <c r="B13" i="1"/>
  <c r="CQ52" i="1"/>
  <c r="Q83" i="1"/>
  <c r="AO83" i="1"/>
  <c r="CU83" i="1" s="1"/>
  <c r="BM83" i="1"/>
  <c r="CY83" i="1" s="1"/>
  <c r="P76" i="2" s="1"/>
  <c r="CK83" i="1"/>
  <c r="DC83" i="1" s="1"/>
  <c r="T76" i="2" s="1"/>
  <c r="AI171" i="1"/>
  <c r="CT171" i="1" s="1"/>
  <c r="BG171" i="1"/>
  <c r="CX171" i="1" s="1"/>
  <c r="CE171" i="1"/>
  <c r="M179" i="1"/>
  <c r="M184" i="1" s="1"/>
  <c r="M229" i="1" s="1"/>
  <c r="M233" i="1" s="1"/>
  <c r="AK179" i="1"/>
  <c r="AK184" i="1" s="1"/>
  <c r="BI179" i="1"/>
  <c r="BI184" i="1" s="1"/>
  <c r="BI229" i="1" s="1"/>
  <c r="CG179" i="1"/>
  <c r="CG184" i="1" s="1"/>
  <c r="CG229" i="1" s="1"/>
  <c r="BG177" i="1"/>
  <c r="CX177" i="1" s="1"/>
  <c r="CE177" i="1"/>
  <c r="DB177" i="1" s="1"/>
  <c r="CN177" i="1"/>
  <c r="AR179" i="1"/>
  <c r="AR184" i="1" s="1"/>
  <c r="AR230" i="1" s="1"/>
  <c r="BP179" i="1"/>
  <c r="BP184" i="1" s="1"/>
  <c r="B365" i="1"/>
  <c r="B349" i="1"/>
  <c r="B330" i="1"/>
  <c r="B300" i="1"/>
  <c r="B239" i="1"/>
  <c r="B174" i="1"/>
  <c r="B110" i="1"/>
  <c r="B45" i="1"/>
  <c r="CP46" i="1"/>
  <c r="Q51" i="1"/>
  <c r="AO51" i="1"/>
  <c r="CM70" i="1"/>
  <c r="DJ74" i="1"/>
  <c r="DK74" i="1" s="1"/>
  <c r="DL74" i="1" s="1"/>
  <c r="DM74" i="1" s="1"/>
  <c r="DN74" i="1" s="1"/>
  <c r="DO74" i="1" s="1"/>
  <c r="DP74" i="1" s="1"/>
  <c r="DQ74" i="1" s="1"/>
  <c r="DR74" i="1" s="1"/>
  <c r="DS74" i="1" s="1"/>
  <c r="DT74" i="1" s="1"/>
  <c r="M86" i="1"/>
  <c r="R86" i="1"/>
  <c r="R94" i="1" s="1"/>
  <c r="V86" i="1"/>
  <c r="V94" i="1" s="1"/>
  <c r="V120" i="1" s="1"/>
  <c r="AA86" i="1"/>
  <c r="AA94" i="1" s="1"/>
  <c r="AA119" i="1" s="1"/>
  <c r="AF86" i="1"/>
  <c r="AF94" i="1" s="1"/>
  <c r="AF118" i="1" s="1"/>
  <c r="AK86" i="1"/>
  <c r="AK94" i="1" s="1"/>
  <c r="AK117" i="1" s="1"/>
  <c r="AP86" i="1"/>
  <c r="AT86" i="1"/>
  <c r="AT94" i="1" s="1"/>
  <c r="AT120" i="1" s="1"/>
  <c r="BI86" i="1"/>
  <c r="BI94" i="1" s="1"/>
  <c r="BI117" i="1" s="1"/>
  <c r="BN86" i="1"/>
  <c r="BN94" i="1" s="1"/>
  <c r="BN116" i="1" s="1"/>
  <c r="BR86" i="1"/>
  <c r="BR94" i="1" s="1"/>
  <c r="BR120" i="1" s="1"/>
  <c r="CB86" i="1"/>
  <c r="CB94" i="1" s="1"/>
  <c r="CB118" i="1" s="1"/>
  <c r="CE118" i="1" s="1"/>
  <c r="DB118" i="1" s="1"/>
  <c r="S98" i="2" s="1"/>
  <c r="CG86" i="1"/>
  <c r="CG94" i="1" s="1"/>
  <c r="CG117" i="1" s="1"/>
  <c r="CK117" i="1" s="1"/>
  <c r="DC117" i="1" s="1"/>
  <c r="T97" i="2" s="1"/>
  <c r="DJ80" i="1"/>
  <c r="DK80" i="1" s="1"/>
  <c r="DL80" i="1" s="1"/>
  <c r="DM80" i="1" s="1"/>
  <c r="DN80" i="1" s="1"/>
  <c r="DO80" i="1" s="1"/>
  <c r="DP80" i="1" s="1"/>
  <c r="DQ80" i="1" s="1"/>
  <c r="DR80" i="1" s="1"/>
  <c r="DS80" i="1" s="1"/>
  <c r="DT80" i="1" s="1"/>
  <c r="CM83" i="1"/>
  <c r="DJ99" i="1"/>
  <c r="DK99" i="1" s="1"/>
  <c r="DL99" i="1" s="1"/>
  <c r="AG179" i="1"/>
  <c r="AG184" i="1" s="1"/>
  <c r="AG231" i="1" s="1"/>
  <c r="BE179" i="1"/>
  <c r="BE184" i="1" s="1"/>
  <c r="BE231" i="1" s="1"/>
  <c r="CC179" i="1"/>
  <c r="CC184" i="1" s="1"/>
  <c r="B361" i="1"/>
  <c r="B345" i="1"/>
  <c r="B324" i="1"/>
  <c r="B286" i="1"/>
  <c r="B223" i="1"/>
  <c r="B158" i="1"/>
  <c r="B93" i="1"/>
  <c r="B29" i="1"/>
  <c r="W51" i="1"/>
  <c r="CR51" i="1" s="1"/>
  <c r="DI51" i="1" s="1"/>
  <c r="DJ82" i="1"/>
  <c r="DK82" i="1" s="1"/>
  <c r="DL82" i="1" s="1"/>
  <c r="DM82" i="1" s="1"/>
  <c r="DN82" i="1" s="1"/>
  <c r="DO82" i="1" s="1"/>
  <c r="DP82" i="1" s="1"/>
  <c r="DQ82" i="1" s="1"/>
  <c r="DR82" i="1" s="1"/>
  <c r="DS82" i="1" s="1"/>
  <c r="DT82" i="1" s="1"/>
  <c r="DJ17" i="1"/>
  <c r="DK17" i="1" s="1"/>
  <c r="DL17" i="1" s="1"/>
  <c r="DM17" i="1" s="1"/>
  <c r="DN17" i="1" s="1"/>
  <c r="DO17" i="1" s="1"/>
  <c r="DP17" i="1" s="1"/>
  <c r="DQ17" i="1" s="1"/>
  <c r="DR17" i="1" s="1"/>
  <c r="DS17" i="1" s="1"/>
  <c r="DT17" i="1" s="1"/>
  <c r="BS51" i="1"/>
  <c r="CZ51" i="1" s="1"/>
  <c r="Q33" i="2" s="1"/>
  <c r="BW59" i="1"/>
  <c r="BW64" i="1" s="1"/>
  <c r="AI20" i="1"/>
  <c r="CT20" i="1" s="1"/>
  <c r="DJ34" i="1"/>
  <c r="DK34" i="1" s="1"/>
  <c r="DL34" i="1" s="1"/>
  <c r="DM34" i="1" s="1"/>
  <c r="DN34" i="1" s="1"/>
  <c r="DO34" i="1" s="1"/>
  <c r="DP34" i="1" s="1"/>
  <c r="DQ34" i="1" s="1"/>
  <c r="DR34" i="1" s="1"/>
  <c r="DS34" i="1" s="1"/>
  <c r="DT34" i="1" s="1"/>
  <c r="DJ42" i="1"/>
  <c r="DK42" i="1" s="1"/>
  <c r="DL42" i="1" s="1"/>
  <c r="DM42" i="1" s="1"/>
  <c r="DN42" i="1" s="1"/>
  <c r="DO42" i="1" s="1"/>
  <c r="DP42" i="1" s="1"/>
  <c r="DQ42" i="1" s="1"/>
  <c r="DR42" i="1" s="1"/>
  <c r="DS42" i="1" s="1"/>
  <c r="DT42" i="1" s="1"/>
  <c r="AC51" i="1"/>
  <c r="CS51" i="1" s="1"/>
  <c r="BY51" i="1"/>
  <c r="DA51" i="1" s="1"/>
  <c r="R33" i="2" s="1"/>
  <c r="BO59" i="1"/>
  <c r="BO64" i="1" s="1"/>
  <c r="BX59" i="1"/>
  <c r="BX64" i="1" s="1"/>
  <c r="BX112" i="1" s="1"/>
  <c r="Q57" i="1"/>
  <c r="AO57" i="1"/>
  <c r="CU57" i="1" s="1"/>
  <c r="BM57" i="1"/>
  <c r="CY57" i="1" s="1"/>
  <c r="P34" i="2" s="1"/>
  <c r="CK57" i="1"/>
  <c r="CQ56" i="1"/>
  <c r="BV59" i="1"/>
  <c r="BV64" i="1" s="1"/>
  <c r="Q20" i="1"/>
  <c r="AO20" i="1"/>
  <c r="CU20" i="1" s="1"/>
  <c r="Q46" i="1"/>
  <c r="BM46" i="1"/>
  <c r="CY46" i="1" s="1"/>
  <c r="CK46" i="1"/>
  <c r="DC46" i="1" s="1"/>
  <c r="DJ44" i="1"/>
  <c r="DK44" i="1" s="1"/>
  <c r="DL44" i="1" s="1"/>
  <c r="DM44" i="1" s="1"/>
  <c r="DN44" i="1" s="1"/>
  <c r="DO44" i="1" s="1"/>
  <c r="DP44" i="1" s="1"/>
  <c r="DQ44" i="1" s="1"/>
  <c r="DR44" i="1" s="1"/>
  <c r="DS44" i="1" s="1"/>
  <c r="DT44" i="1" s="1"/>
  <c r="CO46" i="1"/>
  <c r="CQ50" i="1"/>
  <c r="CO51" i="1"/>
  <c r="W57" i="1"/>
  <c r="CR57" i="1" s="1"/>
  <c r="DI57" i="1" s="1"/>
  <c r="AU57" i="1"/>
  <c r="CV57" i="1" s="1"/>
  <c r="BS57" i="1"/>
  <c r="CZ57" i="1" s="1"/>
  <c r="Q34" i="2" s="1"/>
  <c r="CZ52" i="1"/>
  <c r="W75" i="1"/>
  <c r="CR75" i="1" s="1"/>
  <c r="DI75" i="1" s="1"/>
  <c r="N86" i="1"/>
  <c r="N94" i="1" s="1"/>
  <c r="N118" i="1" s="1"/>
  <c r="S86" i="1"/>
  <c r="S94" i="1" s="1"/>
  <c r="S117" i="1" s="1"/>
  <c r="AG86" i="1"/>
  <c r="AG94" i="1" s="1"/>
  <c r="AG119" i="1" s="1"/>
  <c r="AL86" i="1"/>
  <c r="AL94" i="1" s="1"/>
  <c r="AL118" i="1" s="1"/>
  <c r="AL121" i="1" s="1"/>
  <c r="AV86" i="1"/>
  <c r="AZ86" i="1"/>
  <c r="AZ94" i="1" s="1"/>
  <c r="AZ120" i="1" s="1"/>
  <c r="BE86" i="1"/>
  <c r="BE94" i="1" s="1"/>
  <c r="BE119" i="1" s="1"/>
  <c r="BJ86" i="1"/>
  <c r="BJ94" i="1" s="1"/>
  <c r="BJ118" i="1" s="1"/>
  <c r="BO86" i="1"/>
  <c r="BO94" i="1" s="1"/>
  <c r="BO117" i="1" s="1"/>
  <c r="BS117" i="1" s="1"/>
  <c r="CZ117" i="1" s="1"/>
  <c r="Q97" i="2" s="1"/>
  <c r="CC86" i="1"/>
  <c r="CC94" i="1" s="1"/>
  <c r="CH86" i="1"/>
  <c r="CH94" i="1" s="1"/>
  <c r="CH118" i="1" s="1"/>
  <c r="DC79" i="1"/>
  <c r="DJ84" i="1"/>
  <c r="DK84" i="1" s="1"/>
  <c r="DL84" i="1" s="1"/>
  <c r="DM84" i="1" s="1"/>
  <c r="DN84" i="1" s="1"/>
  <c r="DO84" i="1" s="1"/>
  <c r="DP84" i="1" s="1"/>
  <c r="DQ84" i="1" s="1"/>
  <c r="DR84" i="1" s="1"/>
  <c r="DS84" i="1" s="1"/>
  <c r="DT84" i="1" s="1"/>
  <c r="DJ90" i="1"/>
  <c r="DK90" i="1" s="1"/>
  <c r="DL90" i="1" s="1"/>
  <c r="DM90" i="1" s="1"/>
  <c r="DN90" i="1" s="1"/>
  <c r="DO90" i="1" s="1"/>
  <c r="DP90" i="1" s="1"/>
  <c r="DQ90" i="1" s="1"/>
  <c r="DR90" i="1" s="1"/>
  <c r="DS90" i="1" s="1"/>
  <c r="DT90" i="1" s="1"/>
  <c r="DJ91" i="1"/>
  <c r="DK91" i="1" s="1"/>
  <c r="DL91" i="1" s="1"/>
  <c r="DM91" i="1" s="1"/>
  <c r="DN91" i="1" s="1"/>
  <c r="DO91" i="1" s="1"/>
  <c r="DP91" i="1" s="1"/>
  <c r="DQ91" i="1" s="1"/>
  <c r="DR91" i="1" s="1"/>
  <c r="DS91" i="1" s="1"/>
  <c r="DT91" i="1" s="1"/>
  <c r="CP103" i="1"/>
  <c r="W166" i="1"/>
  <c r="CR166" i="1" s="1"/>
  <c r="CW169" i="1"/>
  <c r="Q177" i="1"/>
  <c r="AO177" i="1"/>
  <c r="CU177" i="1" s="1"/>
  <c r="BM177" i="1"/>
  <c r="CY177" i="1" s="1"/>
  <c r="CK177" i="1"/>
  <c r="DC177" i="1" s="1"/>
  <c r="L179" i="1"/>
  <c r="L184" i="1" s="1"/>
  <c r="L228" i="1" s="1"/>
  <c r="Q228" i="1" s="1"/>
  <c r="P179" i="1"/>
  <c r="P184" i="1" s="1"/>
  <c r="P232" i="1" s="1"/>
  <c r="P233" i="1" s="1"/>
  <c r="AJ179" i="1"/>
  <c r="AJ184" i="1" s="1"/>
  <c r="AN179" i="1"/>
  <c r="AN184" i="1" s="1"/>
  <c r="AN232" i="1" s="1"/>
  <c r="BH179" i="1"/>
  <c r="BH184" i="1" s="1"/>
  <c r="BH228" i="1" s="1"/>
  <c r="BL179" i="1"/>
  <c r="BL184" i="1" s="1"/>
  <c r="BL232" i="1" s="1"/>
  <c r="CF179" i="1"/>
  <c r="CF184" i="1" s="1"/>
  <c r="CF228" i="1" s="1"/>
  <c r="CJ179" i="1"/>
  <c r="CJ184" i="1" s="1"/>
  <c r="CE198" i="1"/>
  <c r="DB198" i="1" s="1"/>
  <c r="CO198" i="1"/>
  <c r="CL212" i="1"/>
  <c r="CP212" i="1"/>
  <c r="W223" i="1"/>
  <c r="CR223" i="1" s="1"/>
  <c r="CN78" i="1"/>
  <c r="AU83" i="1"/>
  <c r="CV83" i="1" s="1"/>
  <c r="AC103" i="1"/>
  <c r="CS103" i="1" s="1"/>
  <c r="Q140" i="1"/>
  <c r="AO140" i="1"/>
  <c r="CU140" i="1" s="1"/>
  <c r="BM140" i="1"/>
  <c r="CY140" i="1" s="1"/>
  <c r="CK140" i="1"/>
  <c r="DC140" i="1" s="1"/>
  <c r="Q150" i="1"/>
  <c r="Y179" i="1"/>
  <c r="AW179" i="1"/>
  <c r="AW184" i="1" s="1"/>
  <c r="BU179" i="1"/>
  <c r="BU184" i="1" s="1"/>
  <c r="BU229" i="1" s="1"/>
  <c r="CL177" i="1"/>
  <c r="CP177" i="1"/>
  <c r="AF179" i="1"/>
  <c r="AF184" i="1" s="1"/>
  <c r="AF230" i="1" s="1"/>
  <c r="BD179" i="1"/>
  <c r="BD184" i="1" s="1"/>
  <c r="BD149" i="1" s="1"/>
  <c r="CB179" i="1"/>
  <c r="CB184" i="1" s="1"/>
  <c r="CB230" i="1" s="1"/>
  <c r="N206" i="1"/>
  <c r="N214" i="1" s="1"/>
  <c r="N238" i="1" s="1"/>
  <c r="CM195" i="1"/>
  <c r="X206" i="1"/>
  <c r="X214" i="1" s="1"/>
  <c r="AB206" i="1"/>
  <c r="AB214" i="1" s="1"/>
  <c r="AB240" i="1" s="1"/>
  <c r="AG206" i="1"/>
  <c r="AG214" i="1" s="1"/>
  <c r="AG239" i="1" s="1"/>
  <c r="AL206" i="1"/>
  <c r="AL214" i="1" s="1"/>
  <c r="AL238" i="1" s="1"/>
  <c r="BE206" i="1"/>
  <c r="BE214" i="1" s="1"/>
  <c r="BE239" i="1" s="1"/>
  <c r="BJ206" i="1"/>
  <c r="BJ214" i="1" s="1"/>
  <c r="BJ238" i="1" s="1"/>
  <c r="BT206" i="1"/>
  <c r="BT214" i="1" s="1"/>
  <c r="BT236" i="1" s="1"/>
  <c r="BX206" i="1"/>
  <c r="BX214" i="1" s="1"/>
  <c r="BX240" i="1" s="1"/>
  <c r="BY240" i="1" s="1"/>
  <c r="DA240" i="1" s="1"/>
  <c r="CC206" i="1"/>
  <c r="CC214" i="1" s="1"/>
  <c r="CH206" i="1"/>
  <c r="CH214" i="1" s="1"/>
  <c r="CH238" i="1" s="1"/>
  <c r="Q198" i="1"/>
  <c r="Q212" i="1"/>
  <c r="CQ53" i="1"/>
  <c r="CQ55" i="1"/>
  <c r="Q70" i="1"/>
  <c r="U86" i="1"/>
  <c r="U94" i="1" s="1"/>
  <c r="U119" i="1" s="1"/>
  <c r="Z86" i="1"/>
  <c r="Z94" i="1" s="1"/>
  <c r="Z118" i="1" s="1"/>
  <c r="AE86" i="1"/>
  <c r="AE94" i="1" s="1"/>
  <c r="AE117" i="1" s="1"/>
  <c r="AJ86" i="1"/>
  <c r="AN86" i="1"/>
  <c r="AN94" i="1" s="1"/>
  <c r="AN120" i="1" s="1"/>
  <c r="AN121" i="1" s="1"/>
  <c r="AS86" i="1"/>
  <c r="AS94" i="1" s="1"/>
  <c r="AS119" i="1" s="1"/>
  <c r="AS121" i="1" s="1"/>
  <c r="AX86" i="1"/>
  <c r="AX94" i="1" s="1"/>
  <c r="AX118" i="1" s="1"/>
  <c r="AX121" i="1" s="1"/>
  <c r="BQ86" i="1"/>
  <c r="BQ94" i="1" s="1"/>
  <c r="BQ119" i="1" s="1"/>
  <c r="BS119" i="1" s="1"/>
  <c r="CZ119" i="1" s="1"/>
  <c r="Q99" i="2" s="1"/>
  <c r="BV86" i="1"/>
  <c r="BV94" i="1" s="1"/>
  <c r="BV118" i="1" s="1"/>
  <c r="CA86" i="1"/>
  <c r="CA94" i="1" s="1"/>
  <c r="CA117" i="1" s="1"/>
  <c r="CF86" i="1"/>
  <c r="CF94" i="1" s="1"/>
  <c r="CF116" i="1" s="1"/>
  <c r="CK116" i="1" s="1"/>
  <c r="DC116" i="1" s="1"/>
  <c r="T96" i="2" s="1"/>
  <c r="CJ86" i="1"/>
  <c r="CJ94" i="1" s="1"/>
  <c r="CJ120" i="1" s="1"/>
  <c r="CV76" i="1"/>
  <c r="CU79" i="1"/>
  <c r="AC92" i="1"/>
  <c r="CS92" i="1" s="1"/>
  <c r="AC177" i="1"/>
  <c r="CS177" i="1" s="1"/>
  <c r="BA177" i="1"/>
  <c r="CW177" i="1" s="1"/>
  <c r="BY177" i="1"/>
  <c r="DA177" i="1" s="1"/>
  <c r="CM177" i="1"/>
  <c r="X179" i="1"/>
  <c r="AB179" i="1"/>
  <c r="AB184" i="1" s="1"/>
  <c r="AV179" i="1"/>
  <c r="AV184" i="1" s="1"/>
  <c r="AV228" i="1" s="1"/>
  <c r="AZ179" i="1"/>
  <c r="AZ184" i="1" s="1"/>
  <c r="AZ232" i="1" s="1"/>
  <c r="BT179" i="1"/>
  <c r="BT184" i="1" s="1"/>
  <c r="BX179" i="1"/>
  <c r="BX184" i="1" s="1"/>
  <c r="BX232" i="1" s="1"/>
  <c r="Q195" i="1"/>
  <c r="Y206" i="1"/>
  <c r="Y214" i="1" s="1"/>
  <c r="Y237" i="1" s="1"/>
  <c r="Y241" i="1" s="1"/>
  <c r="AD206" i="1"/>
  <c r="AD214" i="1" s="1"/>
  <c r="AD236" i="1" s="1"/>
  <c r="AH206" i="1"/>
  <c r="AH214" i="1" s="1"/>
  <c r="AH240" i="1" s="1"/>
  <c r="AM206" i="1"/>
  <c r="AM214" i="1" s="1"/>
  <c r="AM239" i="1" s="1"/>
  <c r="AR206" i="1"/>
  <c r="AR214" i="1" s="1"/>
  <c r="AR238" i="1" s="1"/>
  <c r="AW206" i="1"/>
  <c r="AW214" i="1" s="1"/>
  <c r="AW237" i="1" s="1"/>
  <c r="BA237" i="1" s="1"/>
  <c r="CW237" i="1" s="1"/>
  <c r="BB206" i="1"/>
  <c r="BB214" i="1" s="1"/>
  <c r="BB236" i="1" s="1"/>
  <c r="BF206" i="1"/>
  <c r="BF214" i="1" s="1"/>
  <c r="BF240" i="1" s="1"/>
  <c r="BP206" i="1"/>
  <c r="BP214" i="1" s="1"/>
  <c r="BP238" i="1" s="1"/>
  <c r="BU206" i="1"/>
  <c r="BU214" i="1" s="1"/>
  <c r="BU237" i="1" s="1"/>
  <c r="BY237" i="1" s="1"/>
  <c r="DA237" i="1" s="1"/>
  <c r="BZ206" i="1"/>
  <c r="BZ214" i="1" s="1"/>
  <c r="BZ236" i="1" s="1"/>
  <c r="CD206" i="1"/>
  <c r="CD214" i="1" s="1"/>
  <c r="CD240" i="1" s="1"/>
  <c r="CM198" i="1"/>
  <c r="Q203" i="1"/>
  <c r="AO203" i="1"/>
  <c r="CU203" i="1" s="1"/>
  <c r="BM203" i="1"/>
  <c r="CY203" i="1" s="1"/>
  <c r="CK203" i="1"/>
  <c r="DC203" i="1" s="1"/>
  <c r="CQ210" i="1"/>
  <c r="CN212" i="1"/>
  <c r="AI223" i="1"/>
  <c r="CT223" i="1" s="1"/>
  <c r="B368" i="1"/>
  <c r="B364" i="1"/>
  <c r="B360" i="1"/>
  <c r="B356" i="1"/>
  <c r="B352" i="1"/>
  <c r="B348" i="1"/>
  <c r="B344" i="1"/>
  <c r="B340" i="1"/>
  <c r="B334" i="1"/>
  <c r="B328" i="1"/>
  <c r="B322" i="1"/>
  <c r="B314" i="1"/>
  <c r="B306" i="1"/>
  <c r="B298" i="1"/>
  <c r="B282" i="1"/>
  <c r="B266" i="1"/>
  <c r="B251" i="1"/>
  <c r="B235" i="1"/>
  <c r="B219" i="1"/>
  <c r="B202" i="1"/>
  <c r="B186" i="1"/>
  <c r="B170" i="1"/>
  <c r="B154" i="1"/>
  <c r="B138" i="1"/>
  <c r="B122" i="1"/>
  <c r="B106" i="1"/>
  <c r="B89" i="1"/>
  <c r="B73" i="1"/>
  <c r="B57" i="1"/>
  <c r="B41" i="1"/>
  <c r="B25" i="1"/>
  <c r="B6" i="1"/>
  <c r="B10" i="1"/>
  <c r="B14" i="1"/>
  <c r="B18" i="1"/>
  <c r="B22" i="1"/>
  <c r="B26" i="1"/>
  <c r="B30" i="1"/>
  <c r="B34" i="1"/>
  <c r="B38" i="1"/>
  <c r="B42" i="1"/>
  <c r="B46" i="1"/>
  <c r="B50" i="1"/>
  <c r="B54" i="1"/>
  <c r="B58" i="1"/>
  <c r="B62" i="1"/>
  <c r="B66" i="1"/>
  <c r="B70" i="1"/>
  <c r="B74" i="1"/>
  <c r="B78" i="1"/>
  <c r="B82" i="1"/>
  <c r="B86" i="1"/>
  <c r="B90" i="1"/>
  <c r="B94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183" i="1"/>
  <c r="B187" i="1"/>
  <c r="B191" i="1"/>
  <c r="B195" i="1"/>
  <c r="B199" i="1"/>
  <c r="B203" i="1"/>
  <c r="B207" i="1"/>
  <c r="B211" i="1"/>
  <c r="B215" i="1"/>
  <c r="B220" i="1"/>
  <c r="B224" i="1"/>
  <c r="B228" i="1"/>
  <c r="B232" i="1"/>
  <c r="B236" i="1"/>
  <c r="B240" i="1"/>
  <c r="B244" i="1"/>
  <c r="B248" i="1"/>
  <c r="B255" i="1"/>
  <c r="B259" i="1"/>
  <c r="B263" i="1"/>
  <c r="B267" i="1"/>
  <c r="B271" i="1"/>
  <c r="B275" i="1"/>
  <c r="B279" i="1"/>
  <c r="B283" i="1"/>
  <c r="B287" i="1"/>
  <c r="B291" i="1"/>
  <c r="B295" i="1"/>
  <c r="B299" i="1"/>
  <c r="B303" i="1"/>
  <c r="B307" i="1"/>
  <c r="B311" i="1"/>
  <c r="B315" i="1"/>
  <c r="B319" i="1"/>
  <c r="B323" i="1"/>
  <c r="B3" i="1"/>
  <c r="B7" i="1"/>
  <c r="B11" i="1"/>
  <c r="B15" i="1"/>
  <c r="B19" i="1"/>
  <c r="B23" i="1"/>
  <c r="B27" i="1"/>
  <c r="B31" i="1"/>
  <c r="B35" i="1"/>
  <c r="B39" i="1"/>
  <c r="B43" i="1"/>
  <c r="B47" i="1"/>
  <c r="B51" i="1"/>
  <c r="B55" i="1"/>
  <c r="B59" i="1"/>
  <c r="B63" i="1"/>
  <c r="B67" i="1"/>
  <c r="B71" i="1"/>
  <c r="B75" i="1"/>
  <c r="B79" i="1"/>
  <c r="B83" i="1"/>
  <c r="B87" i="1"/>
  <c r="B91" i="1"/>
  <c r="B95" i="1"/>
  <c r="B100" i="1"/>
  <c r="B104" i="1"/>
  <c r="B108" i="1"/>
  <c r="B112" i="1"/>
  <c r="B116" i="1"/>
  <c r="B120" i="1"/>
  <c r="B124" i="1"/>
  <c r="B128" i="1"/>
  <c r="B132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196" i="1"/>
  <c r="B200" i="1"/>
  <c r="B204" i="1"/>
  <c r="B208" i="1"/>
  <c r="B212" i="1"/>
  <c r="B216" i="1"/>
  <c r="B221" i="1"/>
  <c r="B225" i="1"/>
  <c r="B229" i="1"/>
  <c r="B233" i="1"/>
  <c r="B237" i="1"/>
  <c r="B241" i="1"/>
  <c r="B245" i="1"/>
  <c r="B249" i="1"/>
  <c r="B252" i="1"/>
  <c r="B256" i="1"/>
  <c r="B260" i="1"/>
  <c r="B264" i="1"/>
  <c r="B268" i="1"/>
  <c r="B272" i="1"/>
  <c r="B276" i="1"/>
  <c r="B280" i="1"/>
  <c r="B284" i="1"/>
  <c r="B288" i="1"/>
  <c r="B292" i="1"/>
  <c r="B296" i="1"/>
  <c r="B4" i="1"/>
  <c r="B8" i="1"/>
  <c r="B12" i="1"/>
  <c r="B16" i="1"/>
  <c r="B20" i="1"/>
  <c r="B24" i="1"/>
  <c r="B28" i="1"/>
  <c r="B32" i="1"/>
  <c r="B36" i="1"/>
  <c r="B40" i="1"/>
  <c r="B44" i="1"/>
  <c r="B48" i="1"/>
  <c r="B52" i="1"/>
  <c r="B56" i="1"/>
  <c r="B60" i="1"/>
  <c r="B64" i="1"/>
  <c r="B68" i="1"/>
  <c r="B72" i="1"/>
  <c r="B76" i="1"/>
  <c r="B80" i="1"/>
  <c r="B84" i="1"/>
  <c r="B88" i="1"/>
  <c r="B92" i="1"/>
  <c r="B96" i="1"/>
  <c r="B101" i="1"/>
  <c r="B105" i="1"/>
  <c r="B109" i="1"/>
  <c r="B113" i="1"/>
  <c r="B117" i="1"/>
  <c r="B121" i="1"/>
  <c r="B125" i="1"/>
  <c r="B129" i="1"/>
  <c r="B133" i="1"/>
  <c r="B137" i="1"/>
  <c r="B141" i="1"/>
  <c r="B145" i="1"/>
  <c r="B149" i="1"/>
  <c r="B153" i="1"/>
  <c r="B157" i="1"/>
  <c r="B161" i="1"/>
  <c r="B165" i="1"/>
  <c r="B169" i="1"/>
  <c r="B173" i="1"/>
  <c r="B177" i="1"/>
  <c r="B181" i="1"/>
  <c r="B185" i="1"/>
  <c r="B189" i="1"/>
  <c r="B193" i="1"/>
  <c r="B197" i="1"/>
  <c r="B201" i="1"/>
  <c r="B205" i="1"/>
  <c r="B209" i="1"/>
  <c r="B213" i="1"/>
  <c r="B217" i="1"/>
  <c r="B222" i="1"/>
  <c r="B226" i="1"/>
  <c r="B230" i="1"/>
  <c r="B234" i="1"/>
  <c r="B238" i="1"/>
  <c r="B242" i="1"/>
  <c r="B246" i="1"/>
  <c r="B250" i="1"/>
  <c r="B253" i="1"/>
  <c r="B257" i="1"/>
  <c r="B261" i="1"/>
  <c r="B265" i="1"/>
  <c r="B269" i="1"/>
  <c r="B273" i="1"/>
  <c r="B277" i="1"/>
  <c r="B281" i="1"/>
  <c r="B285" i="1"/>
  <c r="B289" i="1"/>
  <c r="B293" i="1"/>
  <c r="B297" i="1"/>
  <c r="B301" i="1"/>
  <c r="B305" i="1"/>
  <c r="B309" i="1"/>
  <c r="B313" i="1"/>
  <c r="B317" i="1"/>
  <c r="B321" i="1"/>
  <c r="B325" i="1"/>
  <c r="B329" i="1"/>
  <c r="B333" i="1"/>
  <c r="B338" i="1"/>
  <c r="B367" i="1"/>
  <c r="B363" i="1"/>
  <c r="B359" i="1"/>
  <c r="B355" i="1"/>
  <c r="B351" i="1"/>
  <c r="B347" i="1"/>
  <c r="B343" i="1"/>
  <c r="B339" i="1"/>
  <c r="B332" i="1"/>
  <c r="B327" i="1"/>
  <c r="B320" i="1"/>
  <c r="B312" i="1"/>
  <c r="B304" i="1"/>
  <c r="B294" i="1"/>
  <c r="B278" i="1"/>
  <c r="B262" i="1"/>
  <c r="B247" i="1"/>
  <c r="B231" i="1"/>
  <c r="B214" i="1"/>
  <c r="B198" i="1"/>
  <c r="B182" i="1"/>
  <c r="B166" i="1"/>
  <c r="B150" i="1"/>
  <c r="B134" i="1"/>
  <c r="B118" i="1"/>
  <c r="B102" i="1"/>
  <c r="B85" i="1"/>
  <c r="B69" i="1"/>
  <c r="B53" i="1"/>
  <c r="B37" i="1"/>
  <c r="B21" i="1"/>
  <c r="B5" i="1"/>
  <c r="B366" i="1"/>
  <c r="B362" i="1"/>
  <c r="B358" i="1"/>
  <c r="B354" i="1"/>
  <c r="B350" i="1"/>
  <c r="B346" i="1"/>
  <c r="B342" i="1"/>
  <c r="B336" i="1"/>
  <c r="B331" i="1"/>
  <c r="B326" i="1"/>
  <c r="B318" i="1"/>
  <c r="B310" i="1"/>
  <c r="B302" i="1"/>
  <c r="B290" i="1"/>
  <c r="B274" i="1"/>
  <c r="B258" i="1"/>
  <c r="B243" i="1"/>
  <c r="B227" i="1"/>
  <c r="B210" i="1"/>
  <c r="B194" i="1"/>
  <c r="B178" i="1"/>
  <c r="B162" i="1"/>
  <c r="B146" i="1"/>
  <c r="B130" i="1"/>
  <c r="B114" i="1"/>
  <c r="B97" i="1"/>
  <c r="B81" i="1"/>
  <c r="B65" i="1"/>
  <c r="B49" i="1"/>
  <c r="B33" i="1"/>
  <c r="B17" i="1"/>
  <c r="E4" i="2"/>
  <c r="E64" i="2" s="1"/>
  <c r="AC20" i="1"/>
  <c r="CS20" i="1" s="1"/>
  <c r="CS15" i="1"/>
  <c r="CQ16" i="1"/>
  <c r="DJ18" i="1"/>
  <c r="DK18" i="1" s="1"/>
  <c r="CQ37" i="1"/>
  <c r="CS37" i="1"/>
  <c r="DC37" i="1"/>
  <c r="T21" i="2" s="1"/>
  <c r="CQ39" i="1"/>
  <c r="CU49" i="1"/>
  <c r="CN51" i="1"/>
  <c r="AU51" i="1"/>
  <c r="CV51" i="1" s="1"/>
  <c r="CV52" i="1"/>
  <c r="K59" i="1"/>
  <c r="K64" i="1" s="1"/>
  <c r="O59" i="1"/>
  <c r="O64" i="1" s="1"/>
  <c r="O111" i="1" s="1"/>
  <c r="T59" i="1"/>
  <c r="T64" i="1" s="1"/>
  <c r="X59" i="1"/>
  <c r="X64" i="1" s="1"/>
  <c r="AB59" i="1"/>
  <c r="AB64" i="1" s="1"/>
  <c r="AB112" i="1" s="1"/>
  <c r="AL59" i="1"/>
  <c r="AL64" i="1" s="1"/>
  <c r="AQ59" i="1"/>
  <c r="AQ64" i="1" s="1"/>
  <c r="AY59" i="1"/>
  <c r="AY64" i="1" s="1"/>
  <c r="AY111" i="1" s="1"/>
  <c r="BD59" i="1"/>
  <c r="BD64" i="1" s="1"/>
  <c r="BD110" i="1" s="1"/>
  <c r="BN59" i="1"/>
  <c r="BN64" i="1" s="1"/>
  <c r="BR59" i="1"/>
  <c r="DJ16" i="1"/>
  <c r="CQ19" i="1"/>
  <c r="AI46" i="1"/>
  <c r="CT46" i="1" s="1"/>
  <c r="BG46" i="1"/>
  <c r="CX46" i="1" s="1"/>
  <c r="CE46" i="1"/>
  <c r="DB46" i="1" s="1"/>
  <c r="CT38" i="1"/>
  <c r="K22" i="2" s="1"/>
  <c r="CL46" i="1"/>
  <c r="BR64" i="1"/>
  <c r="L59" i="1"/>
  <c r="L64" i="1" s="1"/>
  <c r="P59" i="1"/>
  <c r="P64" i="1" s="1"/>
  <c r="AD59" i="1"/>
  <c r="AD64" i="1" s="1"/>
  <c r="AH59" i="1"/>
  <c r="AH64" i="1" s="1"/>
  <c r="AM59" i="1"/>
  <c r="AM64" i="1" s="1"/>
  <c r="AR59" i="1"/>
  <c r="AR64" i="1" s="1"/>
  <c r="AR110" i="1" s="1"/>
  <c r="AV59" i="1"/>
  <c r="AV64" i="1" s="1"/>
  <c r="AZ59" i="1"/>
  <c r="AZ64" i="1" s="1"/>
  <c r="DL18" i="1"/>
  <c r="DM18" i="1" s="1"/>
  <c r="DN18" i="1" s="1"/>
  <c r="DO18" i="1" s="1"/>
  <c r="DP18" i="1" s="1"/>
  <c r="DQ18" i="1" s="1"/>
  <c r="DR18" i="1" s="1"/>
  <c r="DS18" i="1" s="1"/>
  <c r="DT18" i="1" s="1"/>
  <c r="BA57" i="1"/>
  <c r="CW57" i="1" s="1"/>
  <c r="N34" i="2" s="1"/>
  <c r="R59" i="1"/>
  <c r="V59" i="1"/>
  <c r="V64" i="1" s="1"/>
  <c r="Z59" i="1"/>
  <c r="Z64" i="1" s="1"/>
  <c r="Z110" i="1" s="1"/>
  <c r="AE59" i="1"/>
  <c r="AE64" i="1" s="1"/>
  <c r="AJ59" i="1"/>
  <c r="AJ64" i="1" s="1"/>
  <c r="AN59" i="1"/>
  <c r="AN64" i="1" s="1"/>
  <c r="BB59" i="1"/>
  <c r="BB64" i="1" s="1"/>
  <c r="BF59" i="1"/>
  <c r="BF64" i="1" s="1"/>
  <c r="BK59" i="1"/>
  <c r="BK64" i="1" s="1"/>
  <c r="CQ34" i="1"/>
  <c r="W46" i="1"/>
  <c r="CR46" i="1" s="1"/>
  <c r="DI46" i="1" s="1"/>
  <c r="AU46" i="1"/>
  <c r="CV46" i="1" s="1"/>
  <c r="BS46" i="1"/>
  <c r="CZ46" i="1" s="1"/>
  <c r="CQ44" i="1"/>
  <c r="CS49" i="1"/>
  <c r="DJ49" i="1" s="1"/>
  <c r="DK49" i="1" s="1"/>
  <c r="CS50" i="1"/>
  <c r="DJ50" i="1" s="1"/>
  <c r="DK50" i="1" s="1"/>
  <c r="DL50" i="1" s="1"/>
  <c r="DM50" i="1" s="1"/>
  <c r="DN50" i="1" s="1"/>
  <c r="DO50" i="1" s="1"/>
  <c r="DP50" i="1" s="1"/>
  <c r="DQ50" i="1" s="1"/>
  <c r="DR50" i="1" s="1"/>
  <c r="DS50" i="1" s="1"/>
  <c r="DT50" i="1" s="1"/>
  <c r="CM51" i="1"/>
  <c r="CS52" i="1"/>
  <c r="DJ52" i="1" s="1"/>
  <c r="DK52" i="1" s="1"/>
  <c r="CS55" i="1"/>
  <c r="DJ55" i="1" s="1"/>
  <c r="DK55" i="1" s="1"/>
  <c r="DL55" i="1" s="1"/>
  <c r="DM55" i="1" s="1"/>
  <c r="DN55" i="1" s="1"/>
  <c r="DO55" i="1" s="1"/>
  <c r="DP55" i="1" s="1"/>
  <c r="DQ55" i="1" s="1"/>
  <c r="DR55" i="1" s="1"/>
  <c r="DS55" i="1" s="1"/>
  <c r="DT55" i="1" s="1"/>
  <c r="CS56" i="1"/>
  <c r="DJ56" i="1" s="1"/>
  <c r="DK56" i="1" s="1"/>
  <c r="DL56" i="1" s="1"/>
  <c r="DM56" i="1" s="1"/>
  <c r="DN56" i="1" s="1"/>
  <c r="DO56" i="1" s="1"/>
  <c r="DP56" i="1" s="1"/>
  <c r="DQ56" i="1" s="1"/>
  <c r="DR56" i="1" s="1"/>
  <c r="DS56" i="1" s="1"/>
  <c r="DT56" i="1" s="1"/>
  <c r="N59" i="1"/>
  <c r="N64" i="1" s="1"/>
  <c r="N110" i="1" s="1"/>
  <c r="S59" i="1"/>
  <c r="S64" i="1" s="1"/>
  <c r="S109" i="1" s="1"/>
  <c r="AA59" i="1"/>
  <c r="AA64" i="1" s="1"/>
  <c r="AF59" i="1"/>
  <c r="AF64" i="1" s="1"/>
  <c r="AP59" i="1"/>
  <c r="AP64" i="1" s="1"/>
  <c r="AT59" i="1"/>
  <c r="AT64" i="1" s="1"/>
  <c r="AX59" i="1"/>
  <c r="AX64" i="1" s="1"/>
  <c r="AX217" i="1" s="1"/>
  <c r="BC59" i="1"/>
  <c r="BC64" i="1" s="1"/>
  <c r="BH59" i="1"/>
  <c r="BH64" i="1" s="1"/>
  <c r="BL59" i="1"/>
  <c r="BL64" i="1" s="1"/>
  <c r="BL112" i="1" s="1"/>
  <c r="CA59" i="1"/>
  <c r="CA64" i="1" s="1"/>
  <c r="BQ59" i="1"/>
  <c r="BQ64" i="1" s="1"/>
  <c r="BU59" i="1"/>
  <c r="BU64" i="1" s="1"/>
  <c r="BZ59" i="1"/>
  <c r="BZ64" i="1" s="1"/>
  <c r="CD59" i="1"/>
  <c r="CD64" i="1" s="1"/>
  <c r="CD112" i="1" s="1"/>
  <c r="CI59" i="1"/>
  <c r="CI64" i="1" s="1"/>
  <c r="CU73" i="1"/>
  <c r="DC73" i="1"/>
  <c r="AU75" i="1"/>
  <c r="CV75" i="1" s="1"/>
  <c r="CR76" i="1"/>
  <c r="DI76" i="1" s="1"/>
  <c r="CZ76" i="1"/>
  <c r="BS83" i="1"/>
  <c r="CZ83" i="1" s="1"/>
  <c r="Q76" i="2" s="1"/>
  <c r="CL103" i="1"/>
  <c r="CU135" i="1"/>
  <c r="DC135" i="1"/>
  <c r="CJ59" i="1"/>
  <c r="CJ64" i="1" s="1"/>
  <c r="CJ112" i="1" s="1"/>
  <c r="BS75" i="1"/>
  <c r="CZ75" i="1" s="1"/>
  <c r="Q74" i="2" s="1"/>
  <c r="CU76" i="1"/>
  <c r="DC76" i="1"/>
  <c r="CM78" i="1"/>
  <c r="BG78" i="1"/>
  <c r="CX78" i="1" s="1"/>
  <c r="O75" i="2" s="1"/>
  <c r="CV79" i="1"/>
  <c r="CQ100" i="1"/>
  <c r="CR100" i="1"/>
  <c r="DI100" i="1" s="1"/>
  <c r="CM103" i="1"/>
  <c r="BJ59" i="1"/>
  <c r="BJ64" i="1" s="1"/>
  <c r="CB59" i="1"/>
  <c r="CB64" i="1" s="1"/>
  <c r="CG59" i="1"/>
  <c r="CG64" i="1" s="1"/>
  <c r="CQ58" i="1"/>
  <c r="CY73" i="1"/>
  <c r="DJ81" i="1"/>
  <c r="DK81" i="1" s="1"/>
  <c r="DL81" i="1" s="1"/>
  <c r="DM81" i="1" s="1"/>
  <c r="DN81" i="1" s="1"/>
  <c r="DO81" i="1" s="1"/>
  <c r="DP81" i="1" s="1"/>
  <c r="DQ81" i="1" s="1"/>
  <c r="DR81" i="1" s="1"/>
  <c r="DS81" i="1" s="1"/>
  <c r="DT81" i="1" s="1"/>
  <c r="W83" i="1"/>
  <c r="CR83" i="1" s="1"/>
  <c r="DI83" i="1" s="1"/>
  <c r="CM92" i="1"/>
  <c r="CQ102" i="1"/>
  <c r="CR102" i="1"/>
  <c r="DI102" i="1" s="1"/>
  <c r="DJ102" i="1" s="1"/>
  <c r="DK102" i="1" s="1"/>
  <c r="DL102" i="1" s="1"/>
  <c r="DM102" i="1" s="1"/>
  <c r="DN102" i="1" s="1"/>
  <c r="DO102" i="1" s="1"/>
  <c r="DP102" i="1" s="1"/>
  <c r="DQ102" i="1" s="1"/>
  <c r="DR102" i="1" s="1"/>
  <c r="DS102" i="1" s="1"/>
  <c r="DT102" i="1" s="1"/>
  <c r="W103" i="1"/>
  <c r="CR103" i="1" s="1"/>
  <c r="DI103" i="1" s="1"/>
  <c r="CR133" i="1"/>
  <c r="CQ135" i="1"/>
  <c r="BM166" i="1"/>
  <c r="CY166" i="1" s="1"/>
  <c r="CK166" i="1"/>
  <c r="DC166" i="1" s="1"/>
  <c r="CQ163" i="1"/>
  <c r="BT59" i="1"/>
  <c r="BT64" i="1" s="1"/>
  <c r="CC59" i="1"/>
  <c r="CC64" i="1" s="1"/>
  <c r="CH59" i="1"/>
  <c r="CH64" i="1" s="1"/>
  <c r="CR73" i="1"/>
  <c r="DI73" i="1" s="1"/>
  <c r="CY76" i="1"/>
  <c r="CN83" i="1"/>
  <c r="CS135" i="1"/>
  <c r="BY140" i="1"/>
  <c r="DA140" i="1" s="1"/>
  <c r="CQ159" i="1"/>
  <c r="CS163" i="1"/>
  <c r="J27" i="2" s="1"/>
  <c r="CL166" i="1"/>
  <c r="CP166" i="1"/>
  <c r="CZ169" i="1"/>
  <c r="CQ170" i="1"/>
  <c r="CO171" i="1"/>
  <c r="CX172" i="1"/>
  <c r="AE179" i="1"/>
  <c r="AE184" i="1" s="1"/>
  <c r="AI177" i="1"/>
  <c r="AM179" i="1"/>
  <c r="AM184" i="1" s="1"/>
  <c r="BO179" i="1"/>
  <c r="BO184" i="1" s="1"/>
  <c r="AO195" i="1"/>
  <c r="CU195" i="1" s="1"/>
  <c r="BY195" i="1"/>
  <c r="DA195" i="1" s="1"/>
  <c r="CS196" i="1"/>
  <c r="DA196" i="1"/>
  <c r="AI198" i="1"/>
  <c r="CT198" i="1" s="1"/>
  <c r="BW206" i="1"/>
  <c r="BW214" i="1" s="1"/>
  <c r="BW239" i="1" s="1"/>
  <c r="BG203" i="1"/>
  <c r="CX203" i="1" s="1"/>
  <c r="CM212" i="1"/>
  <c r="AI212" i="1"/>
  <c r="CT212" i="1" s="1"/>
  <c r="AC223" i="1"/>
  <c r="CS223" i="1" s="1"/>
  <c r="CS169" i="1"/>
  <c r="DA169" i="1"/>
  <c r="CR170" i="1"/>
  <c r="CS172" i="1"/>
  <c r="DA172" i="1"/>
  <c r="AA179" i="1"/>
  <c r="AA184" i="1" s="1"/>
  <c r="AX179" i="1"/>
  <c r="AX184" i="1" s="1"/>
  <c r="BC179" i="1"/>
  <c r="BC184" i="1" s="1"/>
  <c r="BK179" i="1"/>
  <c r="BK184" i="1" s="1"/>
  <c r="CS193" i="1"/>
  <c r="DB196" i="1"/>
  <c r="CP198" i="1"/>
  <c r="AA206" i="1"/>
  <c r="AA214" i="1" s="1"/>
  <c r="AA239" i="1" s="1"/>
  <c r="BO206" i="1"/>
  <c r="BO214" i="1" s="1"/>
  <c r="BO237" i="1" s="1"/>
  <c r="CN203" i="1"/>
  <c r="CR210" i="1"/>
  <c r="CO223" i="1"/>
  <c r="CN166" i="1"/>
  <c r="CV169" i="1"/>
  <c r="CM171" i="1"/>
  <c r="DB172" i="1"/>
  <c r="S179" i="1"/>
  <c r="S184" i="1" s="1"/>
  <c r="AY179" i="1"/>
  <c r="AY184" i="1" s="1"/>
  <c r="CA179" i="1"/>
  <c r="CA184" i="1" s="1"/>
  <c r="CI179" i="1"/>
  <c r="CI184" i="1" s="1"/>
  <c r="CQ188" i="1"/>
  <c r="CW193" i="1"/>
  <c r="CW196" i="1"/>
  <c r="S206" i="1"/>
  <c r="S214" i="1" s="1"/>
  <c r="BC206" i="1"/>
  <c r="BC214" i="1" s="1"/>
  <c r="BC237" i="1" s="1"/>
  <c r="BG198" i="1"/>
  <c r="CX198" i="1" s="1"/>
  <c r="BK206" i="1"/>
  <c r="BK214" i="1" s="1"/>
  <c r="CY199" i="1"/>
  <c r="AI203" i="1"/>
  <c r="CT203" i="1" s="1"/>
  <c r="CA206" i="1"/>
  <c r="CA214" i="1" s="1"/>
  <c r="CA237" i="1" s="1"/>
  <c r="CE203" i="1"/>
  <c r="DB203" i="1" s="1"/>
  <c r="CI206" i="1"/>
  <c r="CI214" i="1" s="1"/>
  <c r="CI239" i="1" s="1"/>
  <c r="CW172" i="1"/>
  <c r="O179" i="1"/>
  <c r="O184" i="1" s="1"/>
  <c r="O231" i="1" s="1"/>
  <c r="AQ179" i="1"/>
  <c r="AQ184" i="1" s="1"/>
  <c r="BN179" i="1"/>
  <c r="BN184" i="1" s="1"/>
  <c r="BR179" i="1"/>
  <c r="BR184" i="1" s="1"/>
  <c r="BR232" i="1" s="1"/>
  <c r="BS232" i="1" s="1"/>
  <c r="CZ232" i="1" s="1"/>
  <c r="BW179" i="1"/>
  <c r="BW184" i="1" s="1"/>
  <c r="T179" i="1"/>
  <c r="T184" i="1" s="1"/>
  <c r="T230" i="1" s="1"/>
  <c r="CW187" i="1"/>
  <c r="CX193" i="1"/>
  <c r="O206" i="1"/>
  <c r="O214" i="1" s="1"/>
  <c r="O239" i="1" s="1"/>
  <c r="AQ206" i="1"/>
  <c r="AQ214" i="1" s="1"/>
  <c r="AQ237" i="1" s="1"/>
  <c r="AU198" i="1"/>
  <c r="CV198" i="1" s="1"/>
  <c r="AY206" i="1"/>
  <c r="CM223" i="1"/>
  <c r="CP223" i="1"/>
  <c r="I1" i="2"/>
  <c r="I7" i="2" s="1"/>
  <c r="I65" i="2" s="1"/>
  <c r="Q1" i="2"/>
  <c r="Q7" i="2" s="1"/>
  <c r="Q65" i="2" s="1"/>
  <c r="T1" i="2"/>
  <c r="T7" i="2" s="1"/>
  <c r="T65" i="2" s="1"/>
  <c r="P1" i="2"/>
  <c r="P7" i="2" s="1"/>
  <c r="P65" i="2" s="1"/>
  <c r="L1" i="2"/>
  <c r="L7" i="2" s="1"/>
  <c r="L65" i="2" s="1"/>
  <c r="O1" i="2"/>
  <c r="O7" i="2" s="1"/>
  <c r="O65" i="2" s="1"/>
  <c r="J1" i="2"/>
  <c r="J7" i="2" s="1"/>
  <c r="J65" i="2" s="1"/>
  <c r="K1" i="2"/>
  <c r="K7" i="2" s="1"/>
  <c r="K65" i="2" s="1"/>
  <c r="R1" i="2"/>
  <c r="R7" i="2" s="1"/>
  <c r="R65" i="2" s="1"/>
  <c r="M1" i="2"/>
  <c r="M7" i="2" s="1"/>
  <c r="M65" i="2" s="1"/>
  <c r="S1" i="2"/>
  <c r="S7" i="2" s="1"/>
  <c r="S65" i="2" s="1"/>
  <c r="CR24" i="1"/>
  <c r="DI24" i="1" s="1"/>
  <c r="DJ24" i="1" s="1"/>
  <c r="DK24" i="1" s="1"/>
  <c r="DL24" i="1" s="1"/>
  <c r="DM24" i="1" s="1"/>
  <c r="DN24" i="1" s="1"/>
  <c r="DO24" i="1" s="1"/>
  <c r="DP24" i="1" s="1"/>
  <c r="DQ24" i="1" s="1"/>
  <c r="CQ24" i="1"/>
  <c r="W20" i="1"/>
  <c r="CR15" i="1"/>
  <c r="CQ17" i="1"/>
  <c r="CQ18" i="1"/>
  <c r="CR26" i="1"/>
  <c r="DI26" i="1" s="1"/>
  <c r="DJ26" i="1" s="1"/>
  <c r="DK26" i="1" s="1"/>
  <c r="DL26" i="1" s="1"/>
  <c r="DM26" i="1" s="1"/>
  <c r="DN26" i="1" s="1"/>
  <c r="DO26" i="1" s="1"/>
  <c r="DP26" i="1" s="1"/>
  <c r="DQ26" i="1" s="1"/>
  <c r="DR26" i="1" s="1"/>
  <c r="DS26" i="1" s="1"/>
  <c r="DT26" i="1" s="1"/>
  <c r="CQ26" i="1"/>
  <c r="DJ41" i="1"/>
  <c r="DK41" i="1" s="1"/>
  <c r="DL41" i="1" s="1"/>
  <c r="DM41" i="1" s="1"/>
  <c r="DN41" i="1" s="1"/>
  <c r="DO41" i="1" s="1"/>
  <c r="DP41" i="1" s="1"/>
  <c r="DQ41" i="1" s="1"/>
  <c r="DR41" i="1" s="1"/>
  <c r="DS41" i="1" s="1"/>
  <c r="DT41" i="1" s="1"/>
  <c r="DG18" i="1"/>
  <c r="CR25" i="1"/>
  <c r="DI25" i="1" s="1"/>
  <c r="DJ25" i="1" s="1"/>
  <c r="DK25" i="1" s="1"/>
  <c r="DL25" i="1" s="1"/>
  <c r="DM25" i="1" s="1"/>
  <c r="DN25" i="1" s="1"/>
  <c r="DO25" i="1" s="1"/>
  <c r="DP25" i="1" s="1"/>
  <c r="DQ25" i="1" s="1"/>
  <c r="DR25" i="1" s="1"/>
  <c r="DS25" i="1" s="1"/>
  <c r="DT25" i="1" s="1"/>
  <c r="CQ25" i="1"/>
  <c r="DJ45" i="1"/>
  <c r="DK45" i="1" s="1"/>
  <c r="DL45" i="1" s="1"/>
  <c r="DM45" i="1" s="1"/>
  <c r="DN45" i="1" s="1"/>
  <c r="DO45" i="1" s="1"/>
  <c r="DP45" i="1" s="1"/>
  <c r="DQ45" i="1" s="1"/>
  <c r="DR45" i="1" s="1"/>
  <c r="DS45" i="1" s="1"/>
  <c r="DT45" i="1" s="1"/>
  <c r="DJ54" i="1"/>
  <c r="DK54" i="1" s="1"/>
  <c r="DL54" i="1" s="1"/>
  <c r="DM54" i="1" s="1"/>
  <c r="DN54" i="1" s="1"/>
  <c r="DO54" i="1" s="1"/>
  <c r="DP54" i="1" s="1"/>
  <c r="DQ54" i="1" s="1"/>
  <c r="DR54" i="1" s="1"/>
  <c r="DS54" i="1" s="1"/>
  <c r="DT54" i="1" s="1"/>
  <c r="CR28" i="1"/>
  <c r="DI28" i="1" s="1"/>
  <c r="DJ28" i="1" s="1"/>
  <c r="DK28" i="1" s="1"/>
  <c r="DL28" i="1" s="1"/>
  <c r="DM28" i="1" s="1"/>
  <c r="DN28" i="1" s="1"/>
  <c r="DO28" i="1" s="1"/>
  <c r="DP28" i="1" s="1"/>
  <c r="DQ28" i="1" s="1"/>
  <c r="DR28" i="1" s="1"/>
  <c r="DS28" i="1" s="1"/>
  <c r="DT28" i="1" s="1"/>
  <c r="CQ28" i="1"/>
  <c r="O129" i="1"/>
  <c r="Q127" i="1"/>
  <c r="CN20" i="1"/>
  <c r="CR23" i="1"/>
  <c r="DI23" i="1" s="1"/>
  <c r="DJ23" i="1" s="1"/>
  <c r="DK23" i="1" s="1"/>
  <c r="DL23" i="1" s="1"/>
  <c r="CQ23" i="1"/>
  <c r="CV23" i="1"/>
  <c r="CR27" i="1"/>
  <c r="DI27" i="1" s="1"/>
  <c r="DJ27" i="1" s="1"/>
  <c r="DK27" i="1" s="1"/>
  <c r="DL27" i="1" s="1"/>
  <c r="DM27" i="1" s="1"/>
  <c r="DN27" i="1" s="1"/>
  <c r="DO27" i="1" s="1"/>
  <c r="DP27" i="1" s="1"/>
  <c r="DQ27" i="1" s="1"/>
  <c r="DR27" i="1" s="1"/>
  <c r="DS27" i="1" s="1"/>
  <c r="DT27" i="1" s="1"/>
  <c r="CQ27" i="1"/>
  <c r="DJ43" i="1"/>
  <c r="DK43" i="1" s="1"/>
  <c r="DL43" i="1" s="1"/>
  <c r="DM43" i="1" s="1"/>
  <c r="DN43" i="1" s="1"/>
  <c r="DO43" i="1" s="1"/>
  <c r="DP43" i="1" s="1"/>
  <c r="DQ43" i="1" s="1"/>
  <c r="DR43" i="1" s="1"/>
  <c r="DS43" i="1" s="1"/>
  <c r="DT43" i="1" s="1"/>
  <c r="CZ33" i="1"/>
  <c r="Q18" i="2" s="1"/>
  <c r="CZ40" i="1"/>
  <c r="Q24" i="2" s="1"/>
  <c r="CQ54" i="1"/>
  <c r="CN57" i="1"/>
  <c r="CW58" i="1"/>
  <c r="N35" i="2" s="1"/>
  <c r="CQ41" i="1"/>
  <c r="CR67" i="1"/>
  <c r="DI67" i="1" s="1"/>
  <c r="DJ67" i="1" s="1"/>
  <c r="DK67" i="1" s="1"/>
  <c r="W70" i="1"/>
  <c r="CZ67" i="1"/>
  <c r="Q68" i="2" s="1"/>
  <c r="BS70" i="1"/>
  <c r="CK70" i="1"/>
  <c r="BW86" i="1"/>
  <c r="BW94" i="1" s="1"/>
  <c r="CR172" i="1"/>
  <c r="CQ172" i="1"/>
  <c r="W177" i="1"/>
  <c r="CZ172" i="1"/>
  <c r="BS177" i="1"/>
  <c r="CQ13" i="1"/>
  <c r="CT16" i="1"/>
  <c r="K11" i="2" s="1"/>
  <c r="CX16" i="1"/>
  <c r="O11" i="2" s="1"/>
  <c r="DB16" i="1"/>
  <c r="S11" i="2" s="1"/>
  <c r="CS19" i="1"/>
  <c r="DJ19" i="1" s="1"/>
  <c r="DK19" i="1" s="1"/>
  <c r="DL19" i="1" s="1"/>
  <c r="DM19" i="1" s="1"/>
  <c r="DN19" i="1" s="1"/>
  <c r="DO19" i="1" s="1"/>
  <c r="DP19" i="1" s="1"/>
  <c r="DQ19" i="1" s="1"/>
  <c r="DR19" i="1" s="1"/>
  <c r="DS19" i="1" s="1"/>
  <c r="DT19" i="1" s="1"/>
  <c r="CW33" i="1"/>
  <c r="N18" i="2" s="1"/>
  <c r="CY37" i="1"/>
  <c r="P21" i="2" s="1"/>
  <c r="CQ38" i="1"/>
  <c r="CS39" i="1"/>
  <c r="DJ39" i="1" s="1"/>
  <c r="DK39" i="1" s="1"/>
  <c r="DL39" i="1" s="1"/>
  <c r="DM39" i="1" s="1"/>
  <c r="DN39" i="1" s="1"/>
  <c r="DO39" i="1" s="1"/>
  <c r="DP39" i="1" s="1"/>
  <c r="DQ39" i="1" s="1"/>
  <c r="DR39" i="1" s="1"/>
  <c r="DS39" i="1" s="1"/>
  <c r="DT39" i="1" s="1"/>
  <c r="CQ40" i="1"/>
  <c r="CV40" i="1"/>
  <c r="M24" i="2" s="1"/>
  <c r="CQ45" i="1"/>
  <c r="AC46" i="1"/>
  <c r="CS46" i="1" s="1"/>
  <c r="AO46" i="1"/>
  <c r="CU46" i="1" s="1"/>
  <c r="BA46" i="1"/>
  <c r="CW46" i="1" s="1"/>
  <c r="BY46" i="1"/>
  <c r="DA46" i="1" s="1"/>
  <c r="CQ49" i="1"/>
  <c r="DA49" i="1"/>
  <c r="BA51" i="1"/>
  <c r="CW51" i="1" s="1"/>
  <c r="N33" i="2" s="1"/>
  <c r="BM51" i="1"/>
  <c r="CY51" i="1" s="1"/>
  <c r="P33" i="2" s="1"/>
  <c r="CK51" i="1"/>
  <c r="DC51" i="1" s="1"/>
  <c r="T33" i="2" s="1"/>
  <c r="CU52" i="1"/>
  <c r="CS53" i="1"/>
  <c r="DJ53" i="1" s="1"/>
  <c r="DK53" i="1" s="1"/>
  <c r="DL53" i="1" s="1"/>
  <c r="DM53" i="1" s="1"/>
  <c r="DN53" i="1" s="1"/>
  <c r="DO53" i="1" s="1"/>
  <c r="DP53" i="1" s="1"/>
  <c r="DQ53" i="1" s="1"/>
  <c r="DR53" i="1" s="1"/>
  <c r="DS53" i="1" s="1"/>
  <c r="DT53" i="1" s="1"/>
  <c r="M59" i="1"/>
  <c r="M64" i="1" s="1"/>
  <c r="M109" i="1" s="1"/>
  <c r="U59" i="1"/>
  <c r="U64" i="1" s="1"/>
  <c r="CO57" i="1"/>
  <c r="Y59" i="1"/>
  <c r="AC57" i="1"/>
  <c r="AG59" i="1"/>
  <c r="AG64" i="1" s="1"/>
  <c r="AK59" i="1"/>
  <c r="AK64" i="1" s="1"/>
  <c r="AS59" i="1"/>
  <c r="AS64" i="1" s="1"/>
  <c r="AW59" i="1"/>
  <c r="AW64" i="1" s="1"/>
  <c r="BE59" i="1"/>
  <c r="BE64" i="1" s="1"/>
  <c r="BI59" i="1"/>
  <c r="BI64" i="1" s="1"/>
  <c r="CE57" i="1"/>
  <c r="CQ68" i="1"/>
  <c r="CR69" i="1"/>
  <c r="DI69" i="1" s="1"/>
  <c r="DJ69" i="1" s="1"/>
  <c r="DK69" i="1" s="1"/>
  <c r="DL69" i="1" s="1"/>
  <c r="DM69" i="1" s="1"/>
  <c r="DN69" i="1" s="1"/>
  <c r="DO69" i="1" s="1"/>
  <c r="DP69" i="1" s="1"/>
  <c r="DQ69" i="1" s="1"/>
  <c r="DR69" i="1" s="1"/>
  <c r="DS69" i="1" s="1"/>
  <c r="DT69" i="1" s="1"/>
  <c r="CQ69" i="1"/>
  <c r="CN70" i="1"/>
  <c r="AC70" i="1"/>
  <c r="BY70" i="1"/>
  <c r="K86" i="1"/>
  <c r="K94" i="1" s="1"/>
  <c r="O86" i="1"/>
  <c r="O94" i="1" s="1"/>
  <c r="O119" i="1" s="1"/>
  <c r="T86" i="1"/>
  <c r="X86" i="1"/>
  <c r="AB86" i="1"/>
  <c r="AB94" i="1" s="1"/>
  <c r="BC86" i="1"/>
  <c r="BC94" i="1" s="1"/>
  <c r="BC117" i="1" s="1"/>
  <c r="BG75" i="1"/>
  <c r="BK86" i="1"/>
  <c r="BK94" i="1" s="1"/>
  <c r="BK119" i="1" s="1"/>
  <c r="BP86" i="1"/>
  <c r="BP94" i="1" s="1"/>
  <c r="BP118" i="1" s="1"/>
  <c r="BT86" i="1"/>
  <c r="BT94" i="1" s="1"/>
  <c r="BT116" i="1" s="1"/>
  <c r="BX86" i="1"/>
  <c r="BX94" i="1" s="1"/>
  <c r="CM75" i="1"/>
  <c r="CQ77" i="1"/>
  <c r="CO78" i="1"/>
  <c r="AC83" i="1"/>
  <c r="CS83" i="1" s="1"/>
  <c r="CS79" i="1"/>
  <c r="DJ79" i="1" s="1"/>
  <c r="DK79" i="1" s="1"/>
  <c r="BA83" i="1"/>
  <c r="CW83" i="1" s="1"/>
  <c r="N76" i="2" s="1"/>
  <c r="CW79" i="1"/>
  <c r="BY83" i="1"/>
  <c r="DA83" i="1" s="1"/>
  <c r="R76" i="2" s="1"/>
  <c r="DA79" i="1"/>
  <c r="CQ79" i="1"/>
  <c r="BG83" i="1"/>
  <c r="CX83" i="1" s="1"/>
  <c r="O76" i="2" s="1"/>
  <c r="CQ85" i="1"/>
  <c r="Q92" i="1"/>
  <c r="CQ91" i="1"/>
  <c r="AI103" i="1"/>
  <c r="CP190" i="1"/>
  <c r="CV33" i="1"/>
  <c r="M18" i="2" s="1"/>
  <c r="CQ43" i="1"/>
  <c r="CY52" i="1"/>
  <c r="CS58" i="1"/>
  <c r="DA58" i="1"/>
  <c r="R35" i="2" s="1"/>
  <c r="CQ80" i="1"/>
  <c r="CV172" i="1"/>
  <c r="AU177" i="1"/>
  <c r="CV177" i="1" s="1"/>
  <c r="CR176" i="1"/>
  <c r="CQ176" i="1"/>
  <c r="CU15" i="1"/>
  <c r="CO20" i="1"/>
  <c r="CL20" i="1"/>
  <c r="CP20" i="1"/>
  <c r="DC33" i="1"/>
  <c r="T18" i="2" s="1"/>
  <c r="CR38" i="1"/>
  <c r="DI38" i="1" s="1"/>
  <c r="DJ38" i="1" s="1"/>
  <c r="DB38" i="1"/>
  <c r="S22" i="2" s="1"/>
  <c r="CR40" i="1"/>
  <c r="DI40" i="1" s="1"/>
  <c r="DJ40" i="1" s="1"/>
  <c r="DK40" i="1" s="1"/>
  <c r="DL40" i="1" s="1"/>
  <c r="CQ42" i="1"/>
  <c r="CL51" i="1"/>
  <c r="CP51" i="1"/>
  <c r="BY57" i="1"/>
  <c r="DA57" i="1" s="1"/>
  <c r="R34" i="2" s="1"/>
  <c r="DA52" i="1"/>
  <c r="CT68" i="1"/>
  <c r="AI70" i="1"/>
  <c r="CX68" i="1"/>
  <c r="O69" i="2" s="1"/>
  <c r="DB68" i="1"/>
  <c r="S69" i="2" s="1"/>
  <c r="CE70" i="1"/>
  <c r="CO70" i="1"/>
  <c r="CQ74" i="1"/>
  <c r="L86" i="1"/>
  <c r="L94" i="1" s="1"/>
  <c r="L116" i="1" s="1"/>
  <c r="P86" i="1"/>
  <c r="P94" i="1" s="1"/>
  <c r="P120" i="1" s="1"/>
  <c r="CO75" i="1"/>
  <c r="AQ86" i="1"/>
  <c r="AY86" i="1"/>
  <c r="AY94" i="1" s="1"/>
  <c r="BD86" i="1"/>
  <c r="BD94" i="1" s="1"/>
  <c r="BD118" i="1" s="1"/>
  <c r="BH86" i="1"/>
  <c r="BL86" i="1"/>
  <c r="BL94" i="1" s="1"/>
  <c r="CN75" i="1"/>
  <c r="AC78" i="1"/>
  <c r="CS78" i="1" s="1"/>
  <c r="CS76" i="1"/>
  <c r="BA78" i="1"/>
  <c r="CW78" i="1" s="1"/>
  <c r="N75" i="2" s="1"/>
  <c r="CW76" i="1"/>
  <c r="BY78" i="1"/>
  <c r="DA78" i="1" s="1"/>
  <c r="R75" i="2" s="1"/>
  <c r="DA76" i="1"/>
  <c r="CQ76" i="1"/>
  <c r="CL78" i="1"/>
  <c r="CP78" i="1"/>
  <c r="AI78" i="1"/>
  <c r="CT78" i="1" s="1"/>
  <c r="CE78" i="1"/>
  <c r="DB78" i="1" s="1"/>
  <c r="S75" i="2" s="1"/>
  <c r="CQ82" i="1"/>
  <c r="CO83" i="1"/>
  <c r="CQ84" i="1"/>
  <c r="CQ89" i="1"/>
  <c r="CL92" i="1"/>
  <c r="CP92" i="1"/>
  <c r="AI92" i="1"/>
  <c r="CT92" i="1" s="1"/>
  <c r="CN92" i="1"/>
  <c r="CS100" i="1"/>
  <c r="J109" i="2" s="1"/>
  <c r="M129" i="1"/>
  <c r="Q125" i="1"/>
  <c r="CR148" i="1"/>
  <c r="I114" i="2" s="1"/>
  <c r="CQ148" i="1"/>
  <c r="CM166" i="1"/>
  <c r="Q30" i="1"/>
  <c r="CY33" i="1"/>
  <c r="P18" i="2" s="1"/>
  <c r="CX38" i="1"/>
  <c r="O22" i="2" s="1"/>
  <c r="CM46" i="1"/>
  <c r="AI51" i="1"/>
  <c r="CT51" i="1" s="1"/>
  <c r="K33" i="2" s="1"/>
  <c r="BG51" i="1"/>
  <c r="CX51" i="1" s="1"/>
  <c r="O33" i="2" s="1"/>
  <c r="CE51" i="1"/>
  <c r="DB51" i="1" s="1"/>
  <c r="S33" i="2" s="1"/>
  <c r="DC52" i="1"/>
  <c r="AI57" i="1"/>
  <c r="BG57" i="1"/>
  <c r="CM57" i="1"/>
  <c r="CQ61" i="1"/>
  <c r="CR62" i="1"/>
  <c r="DI62" i="1" s="1"/>
  <c r="DJ62" i="1" s="1"/>
  <c r="DK62" i="1" s="1"/>
  <c r="DL62" i="1" s="1"/>
  <c r="DM62" i="1" s="1"/>
  <c r="DN62" i="1" s="1"/>
  <c r="DO62" i="1" s="1"/>
  <c r="DP62" i="1" s="1"/>
  <c r="DQ62" i="1" s="1"/>
  <c r="DR62" i="1" s="1"/>
  <c r="DS62" i="1" s="1"/>
  <c r="DT62" i="1" s="1"/>
  <c r="CQ62" i="1"/>
  <c r="DJ68" i="1"/>
  <c r="CP70" i="1"/>
  <c r="AC75" i="1"/>
  <c r="CS73" i="1"/>
  <c r="BA75" i="1"/>
  <c r="CW73" i="1"/>
  <c r="BY75" i="1"/>
  <c r="DA73" i="1"/>
  <c r="CQ73" i="1"/>
  <c r="CL75" i="1"/>
  <c r="CP75" i="1"/>
  <c r="AI75" i="1"/>
  <c r="CE75" i="1"/>
  <c r="DJ77" i="1"/>
  <c r="DK77" i="1" s="1"/>
  <c r="DL77" i="1" s="1"/>
  <c r="DM77" i="1" s="1"/>
  <c r="DN77" i="1" s="1"/>
  <c r="DO77" i="1" s="1"/>
  <c r="DP77" i="1" s="1"/>
  <c r="DQ77" i="1" s="1"/>
  <c r="DR77" i="1" s="1"/>
  <c r="DS77" i="1" s="1"/>
  <c r="DT77" i="1" s="1"/>
  <c r="CQ81" i="1"/>
  <c r="CL83" i="1"/>
  <c r="CP83" i="1"/>
  <c r="AI83" i="1"/>
  <c r="CT83" i="1" s="1"/>
  <c r="CE83" i="1"/>
  <c r="DB83" i="1" s="1"/>
  <c r="S76" i="2" s="1"/>
  <c r="DJ85" i="1"/>
  <c r="DK85" i="1" s="1"/>
  <c r="DL85" i="1" s="1"/>
  <c r="DM85" i="1" s="1"/>
  <c r="DN85" i="1" s="1"/>
  <c r="DO85" i="1" s="1"/>
  <c r="DP85" i="1" s="1"/>
  <c r="DQ85" i="1" s="1"/>
  <c r="DR85" i="1" s="1"/>
  <c r="DS85" i="1" s="1"/>
  <c r="DT85" i="1" s="1"/>
  <c r="CS89" i="1"/>
  <c r="DJ89" i="1" s="1"/>
  <c r="DK89" i="1" s="1"/>
  <c r="DL89" i="1" s="1"/>
  <c r="DM89" i="1" s="1"/>
  <c r="DN89" i="1" s="1"/>
  <c r="DO89" i="1" s="1"/>
  <c r="DP89" i="1" s="1"/>
  <c r="DQ89" i="1" s="1"/>
  <c r="DR89" i="1" s="1"/>
  <c r="DS89" i="1" s="1"/>
  <c r="DT89" i="1" s="1"/>
  <c r="W92" i="1"/>
  <c r="L103" i="1"/>
  <c r="L105" i="1" s="1"/>
  <c r="L124" i="1" s="1"/>
  <c r="Q126" i="1"/>
  <c r="N129" i="1"/>
  <c r="CN103" i="1"/>
  <c r="CR143" i="1"/>
  <c r="I45" i="2" s="1"/>
  <c r="CQ143" i="1"/>
  <c r="CV143" i="1"/>
  <c r="CZ143" i="1"/>
  <c r="CR144" i="1"/>
  <c r="I87" i="2" s="1"/>
  <c r="CQ144" i="1"/>
  <c r="CR145" i="1"/>
  <c r="I46" i="2" s="1"/>
  <c r="CQ145" i="1"/>
  <c r="CR146" i="1"/>
  <c r="I88" i="2" s="1"/>
  <c r="CQ146" i="1"/>
  <c r="CR147" i="1"/>
  <c r="I89" i="2" s="1"/>
  <c r="CQ147" i="1"/>
  <c r="CR165" i="1"/>
  <c r="I29" i="2" s="1"/>
  <c r="CQ165" i="1"/>
  <c r="BS166" i="1"/>
  <c r="CZ166" i="1" s="1"/>
  <c r="CR175" i="1"/>
  <c r="CQ175" i="1"/>
  <c r="CR189" i="1"/>
  <c r="I70" i="2" s="1"/>
  <c r="CQ189" i="1"/>
  <c r="W190" i="1"/>
  <c r="CZ189" i="1"/>
  <c r="BS190" i="1"/>
  <c r="CL190" i="1"/>
  <c r="CQ90" i="1"/>
  <c r="CQ101" i="1"/>
  <c r="AI140" i="1"/>
  <c r="CT140" i="1" s="1"/>
  <c r="CT135" i="1"/>
  <c r="K10" i="2" s="1"/>
  <c r="BG140" i="1"/>
  <c r="CX140" i="1" s="1"/>
  <c r="CX135" i="1"/>
  <c r="CE140" i="1"/>
  <c r="DB140" i="1" s="1"/>
  <c r="DB135" i="1"/>
  <c r="CQ136" i="1"/>
  <c r="CQ137" i="1"/>
  <c r="AC140" i="1"/>
  <c r="CS140" i="1" s="1"/>
  <c r="CL171" i="1"/>
  <c r="CR174" i="1"/>
  <c r="CQ174" i="1"/>
  <c r="AP179" i="1"/>
  <c r="AP184" i="1" s="1"/>
  <c r="AT179" i="1"/>
  <c r="AT184" i="1" s="1"/>
  <c r="CS199" i="1"/>
  <c r="AC203" i="1"/>
  <c r="CS203" i="1" s="1"/>
  <c r="CW199" i="1"/>
  <c r="BA203" i="1"/>
  <c r="CW203" i="1" s="1"/>
  <c r="DA199" i="1"/>
  <c r="BY203" i="1"/>
  <c r="DA203" i="1" s="1"/>
  <c r="CQ199" i="1"/>
  <c r="CQ201" i="1"/>
  <c r="CN46" i="1"/>
  <c r="CL57" i="1"/>
  <c r="CP57" i="1"/>
  <c r="CQ138" i="1"/>
  <c r="BA140" i="1"/>
  <c r="CW140" i="1" s="1"/>
  <c r="CN140" i="1"/>
  <c r="CQ160" i="1"/>
  <c r="CP171" i="1"/>
  <c r="CR173" i="1"/>
  <c r="CQ173" i="1"/>
  <c r="CY135" i="1"/>
  <c r="CQ139" i="1"/>
  <c r="CV153" i="1"/>
  <c r="CZ153" i="1"/>
  <c r="CR157" i="1"/>
  <c r="I21" i="2" s="1"/>
  <c r="CQ157" i="1"/>
  <c r="BG166" i="1"/>
  <c r="CN171" i="1"/>
  <c r="CO177" i="1"/>
  <c r="AD179" i="1"/>
  <c r="AD184" i="1" s="1"/>
  <c r="AH179" i="1"/>
  <c r="AH184" i="1" s="1"/>
  <c r="AL179" i="1"/>
  <c r="AL184" i="1" s="1"/>
  <c r="BZ179" i="1"/>
  <c r="BZ184" i="1" s="1"/>
  <c r="CD179" i="1"/>
  <c r="CD184" i="1" s="1"/>
  <c r="CD149" i="1" s="1"/>
  <c r="CH179" i="1"/>
  <c r="CH184" i="1" s="1"/>
  <c r="CH149" i="1" s="1"/>
  <c r="CM190" i="1"/>
  <c r="W212" i="1"/>
  <c r="CR209" i="1"/>
  <c r="CQ209" i="1"/>
  <c r="Q246" i="1"/>
  <c r="N249" i="1"/>
  <c r="CN223" i="1"/>
  <c r="CR161" i="1"/>
  <c r="I25" i="2" s="1"/>
  <c r="CQ161" i="1"/>
  <c r="CQ164" i="1"/>
  <c r="CO166" i="1"/>
  <c r="AU166" i="1"/>
  <c r="CV166" i="1" s="1"/>
  <c r="AO171" i="1"/>
  <c r="CU169" i="1"/>
  <c r="BM171" i="1"/>
  <c r="CY171" i="1" s="1"/>
  <c r="CY169" i="1"/>
  <c r="CK171" i="1"/>
  <c r="DC171" i="1" s="1"/>
  <c r="DC169" i="1"/>
  <c r="Z179" i="1"/>
  <c r="Z184" i="1" s="1"/>
  <c r="Z149" i="1" s="1"/>
  <c r="BV179" i="1"/>
  <c r="BV184" i="1" s="1"/>
  <c r="CQ181" i="1"/>
  <c r="CQ182" i="1"/>
  <c r="AC190" i="1"/>
  <c r="CS187" i="1"/>
  <c r="J68" i="2" s="1"/>
  <c r="BY190" i="1"/>
  <c r="DA187" i="1"/>
  <c r="CQ187" i="1"/>
  <c r="CT188" i="1"/>
  <c r="AI190" i="1"/>
  <c r="CX188" i="1"/>
  <c r="BG190" i="1"/>
  <c r="DB188" i="1"/>
  <c r="CE190" i="1"/>
  <c r="W140" i="1"/>
  <c r="AU140" i="1"/>
  <c r="CV140" i="1" s="1"/>
  <c r="BS140" i="1"/>
  <c r="CZ140" i="1" s="1"/>
  <c r="CV136" i="1"/>
  <c r="M11" i="2" s="1"/>
  <c r="CO140" i="1"/>
  <c r="AI166" i="1"/>
  <c r="CT166" i="1" s="1"/>
  <c r="CE166" i="1"/>
  <c r="DB166" i="1" s="1"/>
  <c r="CQ169" i="1"/>
  <c r="N179" i="1"/>
  <c r="N184" i="1" s="1"/>
  <c r="N230" i="1" s="1"/>
  <c r="BB179" i="1"/>
  <c r="BB184" i="1" s="1"/>
  <c r="BF179" i="1"/>
  <c r="BF184" i="1" s="1"/>
  <c r="BJ179" i="1"/>
  <c r="BJ184" i="1" s="1"/>
  <c r="CS178" i="1"/>
  <c r="CW178" i="1"/>
  <c r="DA178" i="1"/>
  <c r="CQ178" i="1"/>
  <c r="AI195" i="1"/>
  <c r="CT193" i="1"/>
  <c r="CE195" i="1"/>
  <c r="DB193" i="1"/>
  <c r="CL195" i="1"/>
  <c r="CP195" i="1"/>
  <c r="CK195" i="1"/>
  <c r="CL198" i="1"/>
  <c r="CM203" i="1"/>
  <c r="CU153" i="1"/>
  <c r="L18" i="2" s="1"/>
  <c r="DC153" i="1"/>
  <c r="CU157" i="1"/>
  <c r="L21" i="2" s="1"/>
  <c r="CY157" i="1"/>
  <c r="DC157" i="1"/>
  <c r="CT169" i="1"/>
  <c r="CX169" i="1"/>
  <c r="DB169" i="1"/>
  <c r="W171" i="1"/>
  <c r="CU172" i="1"/>
  <c r="CY172" i="1"/>
  <c r="DC172" i="1"/>
  <c r="CR178" i="1"/>
  <c r="I35" i="2" s="1"/>
  <c r="CV178" i="1"/>
  <c r="M35" i="2" s="1"/>
  <c r="CZ178" i="1"/>
  <c r="U179" i="1"/>
  <c r="CS182" i="1"/>
  <c r="J39" i="2" s="1"/>
  <c r="CS188" i="1"/>
  <c r="J69" i="2" s="1"/>
  <c r="CQ194" i="1"/>
  <c r="L206" i="1"/>
  <c r="L214" i="1" s="1"/>
  <c r="L236" i="1" s="1"/>
  <c r="P206" i="1"/>
  <c r="P214" i="1" s="1"/>
  <c r="P240" i="1" s="1"/>
  <c r="CN195" i="1"/>
  <c r="CO203" i="1"/>
  <c r="BS203" i="1"/>
  <c r="CZ203" i="1" s="1"/>
  <c r="AC212" i="1"/>
  <c r="CS212" i="1" s="1"/>
  <c r="CS209" i="1"/>
  <c r="CQ221" i="1"/>
  <c r="O249" i="1"/>
  <c r="CL140" i="1"/>
  <c r="CP140" i="1"/>
  <c r="CQ154" i="1"/>
  <c r="CQ158" i="1"/>
  <c r="CQ162" i="1"/>
  <c r="AC166" i="1"/>
  <c r="CS166" i="1" s="1"/>
  <c r="BA166" i="1"/>
  <c r="CW166" i="1" s="1"/>
  <c r="BY166" i="1"/>
  <c r="DA166" i="1" s="1"/>
  <c r="R179" i="1"/>
  <c r="V179" i="1"/>
  <c r="Q190" i="1"/>
  <c r="AO190" i="1"/>
  <c r="BM190" i="1"/>
  <c r="CK190" i="1"/>
  <c r="CY187" i="1"/>
  <c r="CO190" i="1"/>
  <c r="AU190" i="1"/>
  <c r="CQ193" i="1"/>
  <c r="W195" i="1"/>
  <c r="AU195" i="1"/>
  <c r="BS195" i="1"/>
  <c r="CV193" i="1"/>
  <c r="CR194" i="1"/>
  <c r="AV206" i="1"/>
  <c r="AV214" i="1" s="1"/>
  <c r="AV236" i="1" s="1"/>
  <c r="AZ206" i="1"/>
  <c r="AZ214" i="1" s="1"/>
  <c r="BM195" i="1"/>
  <c r="CO195" i="1"/>
  <c r="AO198" i="1"/>
  <c r="CU198" i="1" s="1"/>
  <c r="CU196" i="1"/>
  <c r="BM198" i="1"/>
  <c r="CY198" i="1" s="1"/>
  <c r="CY196" i="1"/>
  <c r="CK198" i="1"/>
  <c r="DC198" i="1" s="1"/>
  <c r="DC196" i="1"/>
  <c r="BS198" i="1"/>
  <c r="CZ198" i="1" s="1"/>
  <c r="CQ200" i="1"/>
  <c r="CQ202" i="1"/>
  <c r="CL203" i="1"/>
  <c r="CP203" i="1"/>
  <c r="AU203" i="1"/>
  <c r="CV203" i="1" s="1"/>
  <c r="CQ204" i="1"/>
  <c r="V206" i="1"/>
  <c r="CQ219" i="1"/>
  <c r="CT220" i="1"/>
  <c r="K109" i="2" s="1"/>
  <c r="Q244" i="1"/>
  <c r="L249" i="1"/>
  <c r="CM140" i="1"/>
  <c r="CW153" i="1"/>
  <c r="CN190" i="1"/>
  <c r="CR196" i="1"/>
  <c r="CQ196" i="1"/>
  <c r="CR197" i="1"/>
  <c r="CQ197" i="1"/>
  <c r="CN198" i="1"/>
  <c r="W203" i="1"/>
  <c r="CQ205" i="1"/>
  <c r="CO212" i="1"/>
  <c r="M249" i="1"/>
  <c r="Q245" i="1"/>
  <c r="CL223" i="1"/>
  <c r="T206" i="1"/>
  <c r="CQ211" i="1"/>
  <c r="CQ220" i="1"/>
  <c r="CQ222" i="1"/>
  <c r="CR220" i="1"/>
  <c r="I109" i="2" s="1"/>
  <c r="L76" i="2" l="1"/>
  <c r="DD15" i="1"/>
  <c r="BJ29" i="1"/>
  <c r="H74" i="2"/>
  <c r="AM149" i="1"/>
  <c r="M33" i="2"/>
  <c r="H116" i="2"/>
  <c r="L10" i="2"/>
  <c r="L15" i="2" s="1"/>
  <c r="L34" i="2"/>
  <c r="L75" i="2"/>
  <c r="L74" i="2"/>
  <c r="AL97" i="1"/>
  <c r="AL105" i="1" s="1"/>
  <c r="AL126" i="1" s="1"/>
  <c r="AO126" i="1" s="1"/>
  <c r="CU126" i="1" s="1"/>
  <c r="M76" i="2"/>
  <c r="M34" i="2"/>
  <c r="M75" i="2"/>
  <c r="M45" i="2"/>
  <c r="M47" i="2" s="1"/>
  <c r="DR24" i="1"/>
  <c r="DS24" i="1" s="1"/>
  <c r="DT24" i="1" s="1"/>
  <c r="BF97" i="1"/>
  <c r="BF105" i="1" s="1"/>
  <c r="BF128" i="1" s="1"/>
  <c r="BF129" i="1" s="1"/>
  <c r="AJ236" i="1"/>
  <c r="AO236" i="1" s="1"/>
  <c r="CU236" i="1" s="1"/>
  <c r="AJ149" i="1"/>
  <c r="AJ150" i="1" s="1"/>
  <c r="BF149" i="1"/>
  <c r="BV149" i="1"/>
  <c r="AH149" i="1"/>
  <c r="AH150" i="1" s="1"/>
  <c r="CI149" i="1"/>
  <c r="CI150" i="1" s="1"/>
  <c r="DF18" i="1"/>
  <c r="AX149" i="1"/>
  <c r="AX150" i="1" s="1"/>
  <c r="AE149" i="1"/>
  <c r="AE150" i="1" s="1"/>
  <c r="M94" i="1"/>
  <c r="M117" i="1" s="1"/>
  <c r="AS97" i="1"/>
  <c r="AS105" i="1" s="1"/>
  <c r="AS127" i="1" s="1"/>
  <c r="CC217" i="1"/>
  <c r="CC225" i="1" s="1"/>
  <c r="S29" i="1"/>
  <c r="AY217" i="1"/>
  <c r="CI29" i="1"/>
  <c r="CI30" i="1" s="1"/>
  <c r="CH29" i="1"/>
  <c r="CH30" i="1" s="1"/>
  <c r="BW29" i="1"/>
  <c r="BW30" i="1" s="1"/>
  <c r="AZ29" i="1"/>
  <c r="AZ30" i="1" s="1"/>
  <c r="AT97" i="1"/>
  <c r="AT105" i="1" s="1"/>
  <c r="AT128" i="1" s="1"/>
  <c r="AU128" i="1" s="1"/>
  <c r="CV128" i="1" s="1"/>
  <c r="AM217" i="1"/>
  <c r="AM225" i="1" s="1"/>
  <c r="AF97" i="1"/>
  <c r="AF105" i="1" s="1"/>
  <c r="AF126" i="1" s="1"/>
  <c r="AI126" i="1" s="1"/>
  <c r="CT126" i="1" s="1"/>
  <c r="BZ149" i="1"/>
  <c r="AA149" i="1"/>
  <c r="AA150" i="1" s="1"/>
  <c r="BO149" i="1"/>
  <c r="BO150" i="1" s="1"/>
  <c r="CH217" i="1"/>
  <c r="CH225" i="1" s="1"/>
  <c r="BP97" i="1"/>
  <c r="BP105" i="1" s="1"/>
  <c r="BP126" i="1" s="1"/>
  <c r="Z29" i="1"/>
  <c r="Z30" i="1" s="1"/>
  <c r="Z97" i="1"/>
  <c r="Z105" i="1" s="1"/>
  <c r="Z126" i="1" s="1"/>
  <c r="K75" i="2"/>
  <c r="BV29" i="1"/>
  <c r="BV30" i="1" s="1"/>
  <c r="J75" i="2"/>
  <c r="BR149" i="1"/>
  <c r="CG149" i="1"/>
  <c r="CG150" i="1" s="1"/>
  <c r="AB217" i="1"/>
  <c r="AB225" i="1" s="1"/>
  <c r="CD97" i="1"/>
  <c r="CD105" i="1" s="1"/>
  <c r="CD128" i="1" s="1"/>
  <c r="AX29" i="1"/>
  <c r="AX30" i="1" s="1"/>
  <c r="BJ149" i="1"/>
  <c r="BJ150" i="1" s="1"/>
  <c r="CA149" i="1"/>
  <c r="CA150" i="1" s="1"/>
  <c r="BC149" i="1"/>
  <c r="BC150" i="1" s="1"/>
  <c r="BR97" i="1"/>
  <c r="BR105" i="1" s="1"/>
  <c r="BR128" i="1" s="1"/>
  <c r="BR129" i="1" s="1"/>
  <c r="AW149" i="1"/>
  <c r="AW150" i="1" s="1"/>
  <c r="AS149" i="1"/>
  <c r="AS150" i="1" s="1"/>
  <c r="AB29" i="1"/>
  <c r="AB30" i="1" s="1"/>
  <c r="AS217" i="1"/>
  <c r="AS225" i="1" s="1"/>
  <c r="AS247" i="1" s="1"/>
  <c r="CD217" i="1"/>
  <c r="CD225" i="1" s="1"/>
  <c r="BL97" i="1"/>
  <c r="BL105" i="1" s="1"/>
  <c r="BL128" i="1" s="1"/>
  <c r="BM128" i="1" s="1"/>
  <c r="CY128" i="1" s="1"/>
  <c r="AV149" i="1"/>
  <c r="AP149" i="1"/>
  <c r="BJ217" i="1"/>
  <c r="BJ225" i="1" s="1"/>
  <c r="BN149" i="1"/>
  <c r="BD29" i="1"/>
  <c r="BD30" i="1" s="1"/>
  <c r="CJ217" i="1"/>
  <c r="CJ225" i="1" s="1"/>
  <c r="CH97" i="1"/>
  <c r="CH105" i="1" s="1"/>
  <c r="CH126" i="1" s="1"/>
  <c r="CK126" i="1" s="1"/>
  <c r="DC126" i="1" s="1"/>
  <c r="CJ149" i="1"/>
  <c r="CJ150" i="1" s="1"/>
  <c r="BX97" i="1"/>
  <c r="BX105" i="1" s="1"/>
  <c r="BX128" i="1" s="1"/>
  <c r="BF29" i="1"/>
  <c r="BF30" i="1" s="1"/>
  <c r="BH149" i="1"/>
  <c r="BD97" i="1"/>
  <c r="BD105" i="1" s="1"/>
  <c r="BD126" i="1" s="1"/>
  <c r="AZ149" i="1"/>
  <c r="AZ150" i="1" s="1"/>
  <c r="AE217" i="1"/>
  <c r="AE225" i="1" s="1"/>
  <c r="S97" i="1"/>
  <c r="S105" i="1" s="1"/>
  <c r="K217" i="1"/>
  <c r="K29" i="1"/>
  <c r="K97" i="1"/>
  <c r="AQ229" i="1"/>
  <c r="AU229" i="1" s="1"/>
  <c r="CV229" i="1" s="1"/>
  <c r="AQ149" i="1"/>
  <c r="AQ150" i="1" s="1"/>
  <c r="BK239" i="1"/>
  <c r="BM239" i="1" s="1"/>
  <c r="CY239" i="1" s="1"/>
  <c r="BK149" i="1"/>
  <c r="BK150" i="1" s="1"/>
  <c r="CB110" i="1"/>
  <c r="CE110" i="1" s="1"/>
  <c r="DB110" i="1" s="1"/>
  <c r="S55" i="2" s="1"/>
  <c r="CB217" i="1"/>
  <c r="CB225" i="1" s="1"/>
  <c r="CB97" i="1"/>
  <c r="CB105" i="1" s="1"/>
  <c r="CB126" i="1" s="1"/>
  <c r="CB29" i="1"/>
  <c r="CB30" i="1" s="1"/>
  <c r="BY109" i="1"/>
  <c r="DA109" i="1" s="1"/>
  <c r="R54" i="2" s="1"/>
  <c r="V112" i="1"/>
  <c r="W112" i="1" s="1"/>
  <c r="V217" i="1"/>
  <c r="V97" i="1"/>
  <c r="V105" i="1" s="1"/>
  <c r="V29" i="1"/>
  <c r="V30" i="1" s="1"/>
  <c r="AH112" i="1"/>
  <c r="AH113" i="1" s="1"/>
  <c r="AH217" i="1"/>
  <c r="AH225" i="1" s="1"/>
  <c r="AH29" i="1"/>
  <c r="AH30" i="1" s="1"/>
  <c r="AK229" i="1"/>
  <c r="AK233" i="1" s="1"/>
  <c r="AK149" i="1"/>
  <c r="AK150" i="1" s="1"/>
  <c r="BZ116" i="1"/>
  <c r="CE116" i="1" s="1"/>
  <c r="DB116" i="1" s="1"/>
  <c r="S96" i="2" s="1"/>
  <c r="AW117" i="1"/>
  <c r="BA117" i="1" s="1"/>
  <c r="CW117" i="1" s="1"/>
  <c r="N97" i="2" s="1"/>
  <c r="AY97" i="1"/>
  <c r="AY105" i="1" s="1"/>
  <c r="AY127" i="1" s="1"/>
  <c r="AA217" i="1"/>
  <c r="AA225" i="1" s="1"/>
  <c r="BL120" i="1"/>
  <c r="BM120" i="1" s="1"/>
  <c r="CY120" i="1" s="1"/>
  <c r="P100" i="2" s="1"/>
  <c r="BL217" i="1"/>
  <c r="BL225" i="1" s="1"/>
  <c r="BE217" i="1"/>
  <c r="BE225" i="1" s="1"/>
  <c r="BE29" i="1"/>
  <c r="BE30" i="1" s="1"/>
  <c r="U29" i="1"/>
  <c r="U97" i="1"/>
  <c r="BW149" i="1"/>
  <c r="BW150" i="1" s="1"/>
  <c r="BY108" i="1"/>
  <c r="DA108" i="1" s="1"/>
  <c r="R53" i="2" s="1"/>
  <c r="BT217" i="1"/>
  <c r="CI97" i="1"/>
  <c r="CI105" i="1" s="1"/>
  <c r="CI127" i="1" s="1"/>
  <c r="CI217" i="1"/>
  <c r="CI225" i="1" s="1"/>
  <c r="BK97" i="1"/>
  <c r="BK105" i="1" s="1"/>
  <c r="BK127" i="1" s="1"/>
  <c r="BK217" i="1"/>
  <c r="BK225" i="1" s="1"/>
  <c r="BK247" i="1" s="1"/>
  <c r="BM247" i="1" s="1"/>
  <c r="CY247" i="1" s="1"/>
  <c r="BK29" i="1"/>
  <c r="BK30" i="1" s="1"/>
  <c r="AD217" i="1"/>
  <c r="BS108" i="1"/>
  <c r="CZ108" i="1" s="1"/>
  <c r="Q53" i="2" s="1"/>
  <c r="BT228" i="1"/>
  <c r="BY228" i="1" s="1"/>
  <c r="DA228" i="1" s="1"/>
  <c r="BT149" i="1"/>
  <c r="BV110" i="1"/>
  <c r="BY110" i="1" s="1"/>
  <c r="DA110" i="1" s="1"/>
  <c r="R55" i="2" s="1"/>
  <c r="BV97" i="1"/>
  <c r="BV105" i="1" s="1"/>
  <c r="BV126" i="1" s="1"/>
  <c r="BY126" i="1" s="1"/>
  <c r="DA126" i="1" s="1"/>
  <c r="BV217" i="1"/>
  <c r="BV225" i="1" s="1"/>
  <c r="CC231" i="1"/>
  <c r="CE231" i="1" s="1"/>
  <c r="DB231" i="1" s="1"/>
  <c r="CC149" i="1"/>
  <c r="CC150" i="1" s="1"/>
  <c r="BP230" i="1"/>
  <c r="BP233" i="1" s="1"/>
  <c r="BP149" i="1"/>
  <c r="AR118" i="1"/>
  <c r="AU118" i="1" s="1"/>
  <c r="CV118" i="1" s="1"/>
  <c r="AR97" i="1"/>
  <c r="AR105" i="1" s="1"/>
  <c r="AR126" i="1" s="1"/>
  <c r="Y117" i="1"/>
  <c r="Y121" i="1" s="1"/>
  <c r="AN240" i="1"/>
  <c r="AN241" i="1" s="1"/>
  <c r="AN149" i="1"/>
  <c r="AN150" i="1" s="1"/>
  <c r="AT149" i="1"/>
  <c r="AT150" i="1" s="1"/>
  <c r="BJ97" i="1"/>
  <c r="BJ105" i="1" s="1"/>
  <c r="BJ126" i="1" s="1"/>
  <c r="BM126" i="1" s="1"/>
  <c r="CY126" i="1" s="1"/>
  <c r="CF149" i="1"/>
  <c r="BN217" i="1"/>
  <c r="AT217" i="1"/>
  <c r="AT225" i="1" s="1"/>
  <c r="U217" i="1"/>
  <c r="BZ217" i="1"/>
  <c r="AR217" i="1"/>
  <c r="AR225" i="1" s="1"/>
  <c r="AK217" i="1"/>
  <c r="AK225" i="1" s="1"/>
  <c r="CC111" i="1"/>
  <c r="CC113" i="1" s="1"/>
  <c r="CC29" i="1"/>
  <c r="CC30" i="1" s="1"/>
  <c r="BM108" i="1"/>
  <c r="CY108" i="1" s="1"/>
  <c r="P53" i="2" s="1"/>
  <c r="AN112" i="1"/>
  <c r="AN113" i="1" s="1"/>
  <c r="AN217" i="1"/>
  <c r="AN225" i="1" s="1"/>
  <c r="AN97" i="1"/>
  <c r="AN105" i="1" s="1"/>
  <c r="AN128" i="1" s="1"/>
  <c r="AZ112" i="1"/>
  <c r="AZ113" i="1" s="1"/>
  <c r="AZ97" i="1"/>
  <c r="AZ105" i="1" s="1"/>
  <c r="AZ128" i="1" s="1"/>
  <c r="AZ217" i="1"/>
  <c r="AZ225" i="1" s="1"/>
  <c r="BR29" i="1"/>
  <c r="BR30" i="1" s="1"/>
  <c r="BR217" i="1"/>
  <c r="BR225" i="1" s="1"/>
  <c r="BR248" i="1" s="1"/>
  <c r="AU109" i="1"/>
  <c r="CV109" i="1" s="1"/>
  <c r="M54" i="2" s="1"/>
  <c r="AB232" i="1"/>
  <c r="AC232" i="1" s="1"/>
  <c r="CS232" i="1" s="1"/>
  <c r="AB149" i="1"/>
  <c r="AB150" i="1" s="1"/>
  <c r="AJ228" i="1"/>
  <c r="AJ233" i="1" s="1"/>
  <c r="BO113" i="1"/>
  <c r="BO104" i="1" s="1"/>
  <c r="BW111" i="1"/>
  <c r="BY111" i="1" s="1"/>
  <c r="DA111" i="1" s="1"/>
  <c r="R56" i="2" s="1"/>
  <c r="BW217" i="1"/>
  <c r="BW225" i="1" s="1"/>
  <c r="BW97" i="1"/>
  <c r="BW105" i="1" s="1"/>
  <c r="BW127" i="1" s="1"/>
  <c r="CK108" i="1"/>
  <c r="DC108" i="1" s="1"/>
  <c r="T53" i="2" s="1"/>
  <c r="CF217" i="1"/>
  <c r="BX149" i="1"/>
  <c r="AG217" i="1"/>
  <c r="AG225" i="1" s="1"/>
  <c r="BQ97" i="1"/>
  <c r="BQ105" i="1" s="1"/>
  <c r="BQ127" i="1" s="1"/>
  <c r="BQ129" i="1" s="1"/>
  <c r="BQ217" i="1"/>
  <c r="BQ225" i="1" s="1"/>
  <c r="AF110" i="1"/>
  <c r="AF29" i="1"/>
  <c r="AF30" i="1" s="1"/>
  <c r="AF217" i="1"/>
  <c r="AF225" i="1" s="1"/>
  <c r="AJ113" i="1"/>
  <c r="AJ104" i="1" s="1"/>
  <c r="AV113" i="1"/>
  <c r="AV104" i="1" s="1"/>
  <c r="AL217" i="1"/>
  <c r="AL225" i="1" s="1"/>
  <c r="AL29" i="1"/>
  <c r="AL30" i="1" s="1"/>
  <c r="BB149" i="1"/>
  <c r="AD149" i="1"/>
  <c r="BQ149" i="1"/>
  <c r="BQ150" i="1" s="1"/>
  <c r="AF149" i="1"/>
  <c r="AF150" i="1" s="1"/>
  <c r="CC97" i="1"/>
  <c r="CC105" i="1" s="1"/>
  <c r="CC127" i="1" s="1"/>
  <c r="CE127" i="1" s="1"/>
  <c r="DB127" i="1" s="1"/>
  <c r="BE97" i="1"/>
  <c r="BE105" i="1" s="1"/>
  <c r="BE127" i="1" s="1"/>
  <c r="BE129" i="1" s="1"/>
  <c r="AL149" i="1"/>
  <c r="AL150" i="1" s="1"/>
  <c r="BL149" i="1"/>
  <c r="BL150" i="1" s="1"/>
  <c r="BU149" i="1"/>
  <c r="BU150" i="1" s="1"/>
  <c r="BQ29" i="1"/>
  <c r="BQ30" i="1" s="1"/>
  <c r="AN29" i="1"/>
  <c r="AN30" i="1" s="1"/>
  <c r="AH97" i="1"/>
  <c r="AH105" i="1" s="1"/>
  <c r="AH128" i="1" s="1"/>
  <c r="Q179" i="1"/>
  <c r="Q184" i="1" s="1"/>
  <c r="CB149" i="1"/>
  <c r="CB150" i="1" s="1"/>
  <c r="BI149" i="1"/>
  <c r="BI150" i="1" s="1"/>
  <c r="BX29" i="1"/>
  <c r="BX30" i="1" s="1"/>
  <c r="AB97" i="1"/>
  <c r="AB105" i="1" s="1"/>
  <c r="AB128" i="1" s="1"/>
  <c r="AS29" i="1"/>
  <c r="AS30" i="1" s="1"/>
  <c r="Z217" i="1"/>
  <c r="Z225" i="1" s="1"/>
  <c r="BE149" i="1"/>
  <c r="BE150" i="1" s="1"/>
  <c r="BP29" i="1"/>
  <c r="BP30" i="1" s="1"/>
  <c r="BF217" i="1"/>
  <c r="BF225" i="1" s="1"/>
  <c r="BD217" i="1"/>
  <c r="AT29" i="1"/>
  <c r="AT30" i="1" s="1"/>
  <c r="CJ29" i="1"/>
  <c r="CJ30" i="1" s="1"/>
  <c r="AX97" i="1"/>
  <c r="AX105" i="1" s="1"/>
  <c r="AX126" i="1" s="1"/>
  <c r="AX129" i="1" s="1"/>
  <c r="AG149" i="1"/>
  <c r="AG150" i="1" s="1"/>
  <c r="BX217" i="1"/>
  <c r="BX225" i="1" s="1"/>
  <c r="CD29" i="1"/>
  <c r="CD30" i="1" s="1"/>
  <c r="BP217" i="1"/>
  <c r="BP225" i="1" s="1"/>
  <c r="AY29" i="1"/>
  <c r="AY30" i="1" s="1"/>
  <c r="AR149" i="1"/>
  <c r="AR150" i="1" s="1"/>
  <c r="CJ97" i="1"/>
  <c r="CJ105" i="1" s="1"/>
  <c r="CJ128" i="1" s="1"/>
  <c r="BL29" i="1"/>
  <c r="BL30" i="1" s="1"/>
  <c r="AR29" i="1"/>
  <c r="AR30" i="1" s="1"/>
  <c r="Q237" i="1"/>
  <c r="K76" i="2"/>
  <c r="AF121" i="1"/>
  <c r="AI118" i="1"/>
  <c r="CT118" i="1" s="1"/>
  <c r="K81" i="2"/>
  <c r="J76" i="2"/>
  <c r="J81" i="2"/>
  <c r="J33" i="2"/>
  <c r="H75" i="2"/>
  <c r="K69" i="2"/>
  <c r="U69" i="2" s="1"/>
  <c r="V69" i="2" s="1"/>
  <c r="J10" i="2"/>
  <c r="DF15" i="1"/>
  <c r="DE18" i="1"/>
  <c r="DD18" i="1"/>
  <c r="K47" i="2"/>
  <c r="S47" i="2"/>
  <c r="Q36" i="2"/>
  <c r="Q47" i="2"/>
  <c r="W179" i="1"/>
  <c r="AC237" i="1"/>
  <c r="CS237" i="1" s="1"/>
  <c r="P36" i="2"/>
  <c r="J14" i="2"/>
  <c r="J23" i="2"/>
  <c r="DJ58" i="1"/>
  <c r="DK58" i="1" s="1"/>
  <c r="DL58" i="1" s="1"/>
  <c r="DM58" i="1" s="1"/>
  <c r="DN58" i="1" s="1"/>
  <c r="DO58" i="1" s="1"/>
  <c r="DP58" i="1" s="1"/>
  <c r="DQ58" i="1" s="1"/>
  <c r="DR58" i="1" s="1"/>
  <c r="DS58" i="1" s="1"/>
  <c r="DT58" i="1" s="1"/>
  <c r="J35" i="2"/>
  <c r="DJ37" i="1"/>
  <c r="DK37" i="1" s="1"/>
  <c r="DL37" i="1" s="1"/>
  <c r="DM37" i="1" s="1"/>
  <c r="DN37" i="1" s="1"/>
  <c r="DO37" i="1" s="1"/>
  <c r="DP37" i="1" s="1"/>
  <c r="DQ37" i="1" s="1"/>
  <c r="DR37" i="1" s="1"/>
  <c r="DS37" i="1" s="1"/>
  <c r="DT37" i="1" s="1"/>
  <c r="J21" i="2"/>
  <c r="J30" i="2" s="1"/>
  <c r="BP241" i="1"/>
  <c r="BS238" i="1"/>
  <c r="CZ238" i="1" s="1"/>
  <c r="J71" i="2"/>
  <c r="R71" i="2"/>
  <c r="M36" i="2"/>
  <c r="T71" i="2"/>
  <c r="Q71" i="2"/>
  <c r="T79" i="2"/>
  <c r="O47" i="2"/>
  <c r="K15" i="2"/>
  <c r="N30" i="2"/>
  <c r="R30" i="2"/>
  <c r="K30" i="2"/>
  <c r="O30" i="2"/>
  <c r="S30" i="2"/>
  <c r="N36" i="2"/>
  <c r="P79" i="2"/>
  <c r="L30" i="2"/>
  <c r="P30" i="2"/>
  <c r="T30" i="2"/>
  <c r="M30" i="2"/>
  <c r="Q30" i="2"/>
  <c r="R36" i="2"/>
  <c r="J47" i="2"/>
  <c r="N47" i="2"/>
  <c r="R47" i="2"/>
  <c r="Q79" i="2"/>
  <c r="K90" i="2"/>
  <c r="O90" i="2"/>
  <c r="S90" i="2"/>
  <c r="L90" i="2"/>
  <c r="P90" i="2"/>
  <c r="T90" i="2"/>
  <c r="L47" i="2"/>
  <c r="P47" i="2"/>
  <c r="T47" i="2"/>
  <c r="K71" i="2"/>
  <c r="S71" i="2"/>
  <c r="M90" i="2"/>
  <c r="Q90" i="2"/>
  <c r="J90" i="2"/>
  <c r="N90" i="2"/>
  <c r="R90" i="2"/>
  <c r="H90" i="2"/>
  <c r="AW241" i="1"/>
  <c r="BS239" i="1"/>
  <c r="CZ239" i="1" s="1"/>
  <c r="BQ241" i="1"/>
  <c r="L233" i="1"/>
  <c r="AU231" i="1"/>
  <c r="CV231" i="1" s="1"/>
  <c r="AS233" i="1"/>
  <c r="BO121" i="1"/>
  <c r="CF121" i="1"/>
  <c r="BY179" i="1"/>
  <c r="DA179" i="1" s="1"/>
  <c r="BA118" i="1"/>
  <c r="CW118" i="1" s="1"/>
  <c r="N98" i="2" s="1"/>
  <c r="AI238" i="1"/>
  <c r="CT238" i="1" s="1"/>
  <c r="K98" i="2" s="1"/>
  <c r="AF241" i="1"/>
  <c r="BR233" i="1"/>
  <c r="CN206" i="1"/>
  <c r="BG238" i="1"/>
  <c r="CX238" i="1" s="1"/>
  <c r="BU241" i="1"/>
  <c r="U241" i="1"/>
  <c r="W239" i="1"/>
  <c r="CR239" i="1" s="1"/>
  <c r="I99" i="2" s="1"/>
  <c r="U11" i="2"/>
  <c r="DJ78" i="1"/>
  <c r="DK78" i="1" s="1"/>
  <c r="DL78" i="1" s="1"/>
  <c r="DM78" i="1" s="1"/>
  <c r="DN78" i="1" s="1"/>
  <c r="DO78" i="1" s="1"/>
  <c r="DP78" i="1" s="1"/>
  <c r="DQ78" i="1" s="1"/>
  <c r="DR78" i="1" s="1"/>
  <c r="DS78" i="1" s="1"/>
  <c r="DT78" i="1" s="1"/>
  <c r="AI179" i="1"/>
  <c r="CT179" i="1" s="1"/>
  <c r="BA179" i="1"/>
  <c r="CW179" i="1" s="1"/>
  <c r="AU120" i="1"/>
  <c r="CV120" i="1" s="1"/>
  <c r="AT121" i="1"/>
  <c r="AC119" i="1"/>
  <c r="CS119" i="1" s="1"/>
  <c r="AA121" i="1"/>
  <c r="CH121" i="1"/>
  <c r="CK118" i="1"/>
  <c r="DC118" i="1" s="1"/>
  <c r="T98" i="2" s="1"/>
  <c r="BS59" i="1"/>
  <c r="CZ59" i="1" s="1"/>
  <c r="BY236" i="1"/>
  <c r="DA236" i="1" s="1"/>
  <c r="BT241" i="1"/>
  <c r="AG241" i="1"/>
  <c r="AI239" i="1"/>
  <c r="CT239" i="1" s="1"/>
  <c r="AW229" i="1"/>
  <c r="AI231" i="1"/>
  <c r="CT231" i="1" s="1"/>
  <c r="AG233" i="1"/>
  <c r="U27" i="2"/>
  <c r="V27" i="2" s="1"/>
  <c r="U28" i="2"/>
  <c r="V28" i="2" s="1"/>
  <c r="U109" i="2"/>
  <c r="CT177" i="1"/>
  <c r="BQ121" i="1"/>
  <c r="BL241" i="1"/>
  <c r="CP59" i="1"/>
  <c r="CK240" i="1"/>
  <c r="DC240" i="1" s="1"/>
  <c r="DJ103" i="1"/>
  <c r="U13" i="2"/>
  <c r="U38" i="2"/>
  <c r="V38" i="2" s="1"/>
  <c r="U29" i="2"/>
  <c r="I90" i="2"/>
  <c r="BH241" i="1"/>
  <c r="CS3" i="1"/>
  <c r="U12" i="2"/>
  <c r="N121" i="1"/>
  <c r="Q118" i="1"/>
  <c r="H98" i="2" s="1"/>
  <c r="BR121" i="1"/>
  <c r="BS120" i="1"/>
  <c r="CZ120" i="1" s="1"/>
  <c r="Q100" i="2" s="1"/>
  <c r="CG121" i="1"/>
  <c r="DL79" i="1"/>
  <c r="DM79" i="1" s="1"/>
  <c r="DN79" i="1" s="1"/>
  <c r="DO79" i="1" s="1"/>
  <c r="DP79" i="1" s="1"/>
  <c r="DQ79" i="1" s="1"/>
  <c r="DR79" i="1" s="1"/>
  <c r="DS79" i="1" s="1"/>
  <c r="DT79" i="1" s="1"/>
  <c r="CI121" i="1"/>
  <c r="CY3" i="1"/>
  <c r="CW3" i="1"/>
  <c r="CZ3" i="1"/>
  <c r="DA3" i="1"/>
  <c r="CU3" i="1"/>
  <c r="DB3" i="1"/>
  <c r="CR3" i="1"/>
  <c r="CV3" i="1"/>
  <c r="CX3" i="1"/>
  <c r="CT3" i="1"/>
  <c r="CK86" i="1"/>
  <c r="DC86" i="1" s="1"/>
  <c r="Q59" i="1"/>
  <c r="Q64" i="1" s="1"/>
  <c r="CQ223" i="1"/>
  <c r="AC206" i="1"/>
  <c r="CS206" i="1" s="1"/>
  <c r="DK16" i="1"/>
  <c r="DL16" i="1" s="1"/>
  <c r="DM16" i="1" s="1"/>
  <c r="DN16" i="1" s="1"/>
  <c r="DO16" i="1" s="1"/>
  <c r="DP16" i="1" s="1"/>
  <c r="DQ16" i="1" s="1"/>
  <c r="DR16" i="1" s="1"/>
  <c r="DS16" i="1" s="1"/>
  <c r="DT16" i="1" s="1"/>
  <c r="Q86" i="1"/>
  <c r="Q94" i="1" s="1"/>
  <c r="BG179" i="1"/>
  <c r="CX179" i="1" s="1"/>
  <c r="AO86" i="1"/>
  <c r="CU86" i="1" s="1"/>
  <c r="H15" i="2"/>
  <c r="H71" i="2"/>
  <c r="DI15" i="1"/>
  <c r="DJ15" i="1" s="1"/>
  <c r="DK15" i="1" s="1"/>
  <c r="DL15" i="1" s="1"/>
  <c r="DJ73" i="1"/>
  <c r="DK73" i="1" s="1"/>
  <c r="DL73" i="1" s="1"/>
  <c r="DM73" i="1" s="1"/>
  <c r="DN73" i="1" s="1"/>
  <c r="DO73" i="1" s="1"/>
  <c r="DP73" i="1" s="1"/>
  <c r="DQ73" i="1" s="1"/>
  <c r="DR73" i="1" s="1"/>
  <c r="DS73" i="1" s="1"/>
  <c r="DT73" i="1" s="1"/>
  <c r="AO119" i="1"/>
  <c r="CU119" i="1" s="1"/>
  <c r="AM121" i="1"/>
  <c r="BZ113" i="1"/>
  <c r="BZ104" i="1" s="1"/>
  <c r="BZ97" i="1" s="1"/>
  <c r="BZ105" i="1" s="1"/>
  <c r="BZ124" i="1" s="1"/>
  <c r="AI108" i="1"/>
  <c r="CT108" i="1" s="1"/>
  <c r="BU233" i="1"/>
  <c r="BY229" i="1"/>
  <c r="DA229" i="1" s="1"/>
  <c r="AO120" i="1"/>
  <c r="CU120" i="1" s="1"/>
  <c r="H34" i="2"/>
  <c r="DJ51" i="1"/>
  <c r="DK51" i="1" s="1"/>
  <c r="H81" i="2"/>
  <c r="CM206" i="1"/>
  <c r="H33" i="2"/>
  <c r="H30" i="2"/>
  <c r="Q206" i="1"/>
  <c r="Q214" i="1" s="1"/>
  <c r="H76" i="2"/>
  <c r="CG233" i="1"/>
  <c r="CK229" i="1"/>
  <c r="DC229" i="1" s="1"/>
  <c r="AA241" i="1"/>
  <c r="AC239" i="1"/>
  <c r="CS239" i="1" s="1"/>
  <c r="AK121" i="1"/>
  <c r="AO117" i="1"/>
  <c r="CU117" i="1" s="1"/>
  <c r="CU51" i="1"/>
  <c r="AO59" i="1"/>
  <c r="CU59" i="1" s="1"/>
  <c r="BM86" i="1"/>
  <c r="CY86" i="1" s="1"/>
  <c r="BQ231" i="1"/>
  <c r="CK120" i="1"/>
  <c r="DC120" i="1" s="1"/>
  <c r="T100" i="2" s="1"/>
  <c r="CJ121" i="1"/>
  <c r="BR112" i="1"/>
  <c r="BR113" i="1" s="1"/>
  <c r="CE238" i="1"/>
  <c r="DB238" i="1" s="1"/>
  <c r="CB241" i="1"/>
  <c r="DC57" i="1"/>
  <c r="T34" i="2" s="1"/>
  <c r="T36" i="2" s="1"/>
  <c r="CK59" i="1"/>
  <c r="DC59" i="1" s="1"/>
  <c r="BA120" i="1"/>
  <c r="CW120" i="1" s="1"/>
  <c r="N100" i="2" s="1"/>
  <c r="AZ121" i="1"/>
  <c r="DB171" i="1"/>
  <c r="CE179" i="1"/>
  <c r="DB179" i="1" s="1"/>
  <c r="CU171" i="1"/>
  <c r="AO179" i="1"/>
  <c r="CU179" i="1" s="1"/>
  <c r="W59" i="1"/>
  <c r="CR59" i="1" s="1"/>
  <c r="DI59" i="1" s="1"/>
  <c r="CS57" i="1"/>
  <c r="J34" i="2" s="1"/>
  <c r="AC59" i="1"/>
  <c r="CS59" i="1" s="1"/>
  <c r="CZ177" i="1"/>
  <c r="BS179" i="1"/>
  <c r="CZ179" i="1" s="1"/>
  <c r="AU179" i="1"/>
  <c r="CV179" i="1" s="1"/>
  <c r="AS239" i="1"/>
  <c r="BF121" i="1"/>
  <c r="BG120" i="1"/>
  <c r="CX120" i="1" s="1"/>
  <c r="O100" i="2" s="1"/>
  <c r="CO206" i="1"/>
  <c r="CL59" i="1"/>
  <c r="CO179" i="1"/>
  <c r="CK237" i="1"/>
  <c r="DC237" i="1" s="1"/>
  <c r="DM40" i="1"/>
  <c r="DN40" i="1" s="1"/>
  <c r="DO40" i="1" s="1"/>
  <c r="DP40" i="1" s="1"/>
  <c r="DQ40" i="1" s="1"/>
  <c r="DR40" i="1" s="1"/>
  <c r="DS40" i="1" s="1"/>
  <c r="DT40" i="1" s="1"/>
  <c r="DL49" i="1"/>
  <c r="DM49" i="1" s="1"/>
  <c r="DN49" i="1" s="1"/>
  <c r="DO49" i="1" s="1"/>
  <c r="DP49" i="1" s="1"/>
  <c r="DQ49" i="1" s="1"/>
  <c r="DR49" i="1" s="1"/>
  <c r="DS49" i="1" s="1"/>
  <c r="DT49" i="1" s="1"/>
  <c r="AX225" i="1"/>
  <c r="AL110" i="1"/>
  <c r="AO110" i="1" s="1"/>
  <c r="CU110" i="1" s="1"/>
  <c r="AE121" i="1"/>
  <c r="AI117" i="1"/>
  <c r="CT117" i="1" s="1"/>
  <c r="BM238" i="1"/>
  <c r="CY238" i="1" s="1"/>
  <c r="BJ241" i="1"/>
  <c r="BF112" i="1"/>
  <c r="AR241" i="1"/>
  <c r="AU238" i="1"/>
  <c r="CV238" i="1" s="1"/>
  <c r="CE117" i="1"/>
  <c r="DB117" i="1" s="1"/>
  <c r="S97" i="2" s="1"/>
  <c r="CA121" i="1"/>
  <c r="CC239" i="1"/>
  <c r="BE241" i="1"/>
  <c r="BG239" i="1"/>
  <c r="CX239" i="1" s="1"/>
  <c r="BJ121" i="1"/>
  <c r="BM118" i="1"/>
  <c r="CY118" i="1" s="1"/>
  <c r="P98" i="2" s="1"/>
  <c r="BA206" i="1"/>
  <c r="CW206" i="1" s="1"/>
  <c r="CP206" i="1"/>
  <c r="AY214" i="1"/>
  <c r="CP179" i="1"/>
  <c r="CM179" i="1"/>
  <c r="Q229" i="1"/>
  <c r="AO237" i="1"/>
  <c r="CU237" i="1" s="1"/>
  <c r="Q232" i="1"/>
  <c r="DJ76" i="1"/>
  <c r="DK76" i="1" s="1"/>
  <c r="DL76" i="1" s="1"/>
  <c r="DM76" i="1" s="1"/>
  <c r="DN76" i="1" s="1"/>
  <c r="DO76" i="1" s="1"/>
  <c r="DP76" i="1" s="1"/>
  <c r="DQ76" i="1" s="1"/>
  <c r="DR76" i="1" s="1"/>
  <c r="DS76" i="1" s="1"/>
  <c r="DT76" i="1" s="1"/>
  <c r="AU86" i="1"/>
  <c r="CV86" i="1" s="1"/>
  <c r="DK38" i="1"/>
  <c r="DL38" i="1" s="1"/>
  <c r="DM38" i="1" s="1"/>
  <c r="DN38" i="1" s="1"/>
  <c r="DO38" i="1" s="1"/>
  <c r="DP38" i="1" s="1"/>
  <c r="DQ38" i="1" s="1"/>
  <c r="DR38" i="1" s="1"/>
  <c r="DS38" i="1" s="1"/>
  <c r="DT38" i="1" s="1"/>
  <c r="AO118" i="1"/>
  <c r="CU118" i="1" s="1"/>
  <c r="CB121" i="1"/>
  <c r="CN59" i="1"/>
  <c r="BM237" i="1"/>
  <c r="CY237" i="1" s="1"/>
  <c r="BY206" i="1"/>
  <c r="DA206" i="1" s="1"/>
  <c r="BG206" i="1"/>
  <c r="CX206" i="1" s="1"/>
  <c r="BX241" i="1"/>
  <c r="BO229" i="1"/>
  <c r="BO233" i="1" s="1"/>
  <c r="CM86" i="1"/>
  <c r="AD121" i="1"/>
  <c r="AU119" i="1"/>
  <c r="CV119" i="1" s="1"/>
  <c r="V214" i="1"/>
  <c r="CP214" i="1" s="1"/>
  <c r="CF241" i="1"/>
  <c r="AC179" i="1"/>
  <c r="CS179" i="1" s="1"/>
  <c r="BM179" i="1"/>
  <c r="CY179" i="1" s="1"/>
  <c r="DK68" i="1"/>
  <c r="DL68" i="1" s="1"/>
  <c r="DM68" i="1" s="1"/>
  <c r="DN68" i="1" s="1"/>
  <c r="DO68" i="1" s="1"/>
  <c r="DP68" i="1" s="1"/>
  <c r="DQ68" i="1" s="1"/>
  <c r="DR68" i="1" s="1"/>
  <c r="DS68" i="1" s="1"/>
  <c r="DT68" i="1" s="1"/>
  <c r="DJ100" i="1"/>
  <c r="DK100" i="1" s="1"/>
  <c r="DL100" i="1" s="1"/>
  <c r="DM100" i="1" s="1"/>
  <c r="DN100" i="1" s="1"/>
  <c r="DO100" i="1" s="1"/>
  <c r="DP100" i="1" s="1"/>
  <c r="DQ100" i="1" s="1"/>
  <c r="DR100" i="1" s="1"/>
  <c r="DS100" i="1" s="1"/>
  <c r="DT100" i="1" s="1"/>
  <c r="DM23" i="1"/>
  <c r="DN23" i="1" s="1"/>
  <c r="DO23" i="1" s="1"/>
  <c r="DP23" i="1" s="1"/>
  <c r="DQ23" i="1" s="1"/>
  <c r="DR23" i="1" s="1"/>
  <c r="DS23" i="1" s="1"/>
  <c r="DT23" i="1" s="1"/>
  <c r="W86" i="1"/>
  <c r="CR86" i="1" s="1"/>
  <c r="DI86" i="1" s="1"/>
  <c r="U78" i="2"/>
  <c r="BW231" i="1"/>
  <c r="BY231" i="1" s="1"/>
  <c r="DA231" i="1" s="1"/>
  <c r="CH110" i="1"/>
  <c r="CH113" i="1" s="1"/>
  <c r="AU108" i="1"/>
  <c r="CV108" i="1" s="1"/>
  <c r="Q110" i="1"/>
  <c r="N113" i="1"/>
  <c r="BJ30" i="1"/>
  <c r="BJ110" i="1"/>
  <c r="BJ113" i="1" s="1"/>
  <c r="AX110" i="1"/>
  <c r="AY231" i="1"/>
  <c r="AA231" i="1"/>
  <c r="AA233" i="1" s="1"/>
  <c r="BQ111" i="1"/>
  <c r="AT112" i="1"/>
  <c r="AT113" i="1" s="1"/>
  <c r="BG108" i="1"/>
  <c r="CX108" i="1" s="1"/>
  <c r="O53" i="2" s="1"/>
  <c r="AC110" i="1"/>
  <c r="CS110" i="1" s="1"/>
  <c r="Z113" i="1"/>
  <c r="BA59" i="1"/>
  <c r="CW59" i="1" s="1"/>
  <c r="BI121" i="1"/>
  <c r="BM117" i="1"/>
  <c r="CY117" i="1" s="1"/>
  <c r="P97" i="2" s="1"/>
  <c r="Q222" i="1"/>
  <c r="Q223" i="1" s="1"/>
  <c r="Q225" i="1" s="1"/>
  <c r="BP150" i="1"/>
  <c r="DJ46" i="1"/>
  <c r="DK46" i="1" s="1"/>
  <c r="DL46" i="1" s="1"/>
  <c r="DM46" i="1" s="1"/>
  <c r="DN46" i="1" s="1"/>
  <c r="DO46" i="1" s="1"/>
  <c r="DP46" i="1" s="1"/>
  <c r="DQ46" i="1" s="1"/>
  <c r="DR46" i="1" s="1"/>
  <c r="DS46" i="1" s="1"/>
  <c r="DT46" i="1" s="1"/>
  <c r="U184" i="1"/>
  <c r="CQ198" i="1"/>
  <c r="CL86" i="1"/>
  <c r="BS86" i="1"/>
  <c r="CZ86" i="1" s="1"/>
  <c r="DL52" i="1"/>
  <c r="DM52" i="1" s="1"/>
  <c r="DN52" i="1" s="1"/>
  <c r="DO52" i="1" s="1"/>
  <c r="DP52" i="1" s="1"/>
  <c r="DQ52" i="1" s="1"/>
  <c r="DR52" i="1" s="1"/>
  <c r="DS52" i="1" s="1"/>
  <c r="DT52" i="1" s="1"/>
  <c r="X94" i="1"/>
  <c r="AU59" i="1"/>
  <c r="U77" i="2"/>
  <c r="U25" i="2"/>
  <c r="V25" i="2" s="1"/>
  <c r="U19" i="2"/>
  <c r="V19" i="2" s="1"/>
  <c r="U110" i="2"/>
  <c r="V110" i="2" s="1"/>
  <c r="U26" i="2"/>
  <c r="V26" i="2" s="1"/>
  <c r="AZ240" i="1"/>
  <c r="BJ230" i="1"/>
  <c r="Q230" i="1"/>
  <c r="N233" i="1"/>
  <c r="BZ228" i="1"/>
  <c r="Q119" i="1"/>
  <c r="O121" i="1"/>
  <c r="BF232" i="1"/>
  <c r="BF150" i="1"/>
  <c r="BV230" i="1"/>
  <c r="BV150" i="1"/>
  <c r="AY119" i="1"/>
  <c r="CO94" i="1"/>
  <c r="Q120" i="1"/>
  <c r="P121" i="1"/>
  <c r="BS118" i="1"/>
  <c r="CZ118" i="1" s="1"/>
  <c r="Q98" i="2" s="1"/>
  <c r="BP121" i="1"/>
  <c r="AB120" i="1"/>
  <c r="CP94" i="1"/>
  <c r="L121" i="1"/>
  <c r="Q116" i="1"/>
  <c r="BW119" i="1"/>
  <c r="BX120" i="1"/>
  <c r="CV195" i="1"/>
  <c r="M74" i="2" s="1"/>
  <c r="M79" i="2" s="1"/>
  <c r="AU206" i="1"/>
  <c r="CV206" i="1" s="1"/>
  <c r="AP241" i="1"/>
  <c r="AU236" i="1"/>
  <c r="CV236" i="1" s="1"/>
  <c r="AV233" i="1"/>
  <c r="BA228" i="1"/>
  <c r="CW228" i="1" s="1"/>
  <c r="CE206" i="1"/>
  <c r="DB206" i="1" s="1"/>
  <c r="DB195" i="1"/>
  <c r="BN228" i="1"/>
  <c r="O233" i="1"/>
  <c r="Q231" i="1"/>
  <c r="CE120" i="1"/>
  <c r="DB120" i="1" s="1"/>
  <c r="S100" i="2" s="1"/>
  <c r="CD121" i="1"/>
  <c r="DB70" i="1"/>
  <c r="CQ103" i="1"/>
  <c r="CT103" i="1"/>
  <c r="BY116" i="1"/>
  <c r="DA116" i="1" s="1"/>
  <c r="R96" i="2" s="1"/>
  <c r="BT121" i="1"/>
  <c r="BG117" i="1"/>
  <c r="CX117" i="1" s="1"/>
  <c r="O97" i="2" s="1"/>
  <c r="BC121" i="1"/>
  <c r="DA70" i="1"/>
  <c r="DB57" i="1"/>
  <c r="S34" i="2" s="1"/>
  <c r="S36" i="2" s="1"/>
  <c r="CE59" i="1"/>
  <c r="CZ70" i="1"/>
  <c r="X113" i="1"/>
  <c r="X104" i="1" s="1"/>
  <c r="AC108" i="1"/>
  <c r="CS108" i="1" s="1"/>
  <c r="BG110" i="1"/>
  <c r="CX110" i="1" s="1"/>
  <c r="O55" i="2" s="1"/>
  <c r="BD113" i="1"/>
  <c r="CO86" i="1"/>
  <c r="M113" i="1"/>
  <c r="Q109" i="1"/>
  <c r="U111" i="1"/>
  <c r="CO64" i="1"/>
  <c r="CR203" i="1"/>
  <c r="I76" i="2" s="1"/>
  <c r="CQ203" i="1"/>
  <c r="BN241" i="1"/>
  <c r="BS236" i="1"/>
  <c r="CZ236" i="1" s="1"/>
  <c r="CD241" i="1"/>
  <c r="CE240" i="1"/>
  <c r="DB240" i="1" s="1"/>
  <c r="BL233" i="1"/>
  <c r="BM232" i="1"/>
  <c r="CY232" i="1" s="1"/>
  <c r="AI206" i="1"/>
  <c r="CT206" i="1" s="1"/>
  <c r="CT195" i="1"/>
  <c r="CI231" i="1"/>
  <c r="DB190" i="1"/>
  <c r="CS190" i="1"/>
  <c r="X236" i="1"/>
  <c r="CT75" i="1"/>
  <c r="AI86" i="1"/>
  <c r="CT86" i="1" s="1"/>
  <c r="CT70" i="1"/>
  <c r="CE237" i="1"/>
  <c r="DB237" i="1" s="1"/>
  <c r="CA241" i="1"/>
  <c r="AO239" i="1"/>
  <c r="CU239" i="1" s="1"/>
  <c r="AM241" i="1"/>
  <c r="R236" i="1"/>
  <c r="CL214" i="1"/>
  <c r="BM206" i="1"/>
  <c r="CY206" i="1" s="1"/>
  <c r="CY195" i="1"/>
  <c r="CR195" i="1"/>
  <c r="I74" i="2" s="1"/>
  <c r="CQ195" i="1"/>
  <c r="W206" i="1"/>
  <c r="W214" i="1" s="1"/>
  <c r="BZ241" i="1"/>
  <c r="CE236" i="1"/>
  <c r="DB236" i="1" s="1"/>
  <c r="AL241" i="1"/>
  <c r="AO238" i="1"/>
  <c r="CU238" i="1" s="1"/>
  <c r="CL179" i="1"/>
  <c r="Q240" i="1"/>
  <c r="P241" i="1"/>
  <c r="BG237" i="1"/>
  <c r="CX237" i="1" s="1"/>
  <c r="BC241" i="1"/>
  <c r="Q239" i="1"/>
  <c r="O241" i="1"/>
  <c r="BX233" i="1"/>
  <c r="BY232" i="1"/>
  <c r="DA232" i="1" s="1"/>
  <c r="BH233" i="1"/>
  <c r="BM228" i="1"/>
  <c r="CY228" i="1" s="1"/>
  <c r="AR233" i="1"/>
  <c r="AU230" i="1"/>
  <c r="CV230" i="1" s="1"/>
  <c r="BF241" i="1"/>
  <c r="BG240" i="1"/>
  <c r="CX240" i="1" s="1"/>
  <c r="Q236" i="1"/>
  <c r="L241" i="1"/>
  <c r="BI233" i="1"/>
  <c r="BM229" i="1"/>
  <c r="CY229" i="1" s="1"/>
  <c r="AE229" i="1"/>
  <c r="BW241" i="1"/>
  <c r="BY239" i="1"/>
  <c r="DA239" i="1" s="1"/>
  <c r="AH232" i="1"/>
  <c r="CR212" i="1"/>
  <c r="I81" i="2" s="1"/>
  <c r="CQ212" i="1"/>
  <c r="S237" i="1"/>
  <c r="CM214" i="1"/>
  <c r="AL230" i="1"/>
  <c r="AX230" i="1"/>
  <c r="CL206" i="1"/>
  <c r="CR190" i="1"/>
  <c r="CQ190" i="1"/>
  <c r="V121" i="1"/>
  <c r="W120" i="1"/>
  <c r="DA75" i="1"/>
  <c r="R74" i="2" s="1"/>
  <c r="R79" i="2" s="1"/>
  <c r="BY86" i="1"/>
  <c r="DA86" i="1" s="1"/>
  <c r="CS75" i="1"/>
  <c r="J74" i="2" s="1"/>
  <c r="AC86" i="1"/>
  <c r="AC94" i="1" s="1"/>
  <c r="CS94" i="1" s="1"/>
  <c r="BS116" i="1"/>
  <c r="CZ116" i="1" s="1"/>
  <c r="Q96" i="2" s="1"/>
  <c r="BN121" i="1"/>
  <c r="CI111" i="1"/>
  <c r="BK111" i="1"/>
  <c r="O113" i="1"/>
  <c r="Q111" i="1"/>
  <c r="BY118" i="1"/>
  <c r="DA118" i="1" s="1"/>
  <c r="R98" i="2" s="1"/>
  <c r="BV121" i="1"/>
  <c r="AH121" i="1"/>
  <c r="AI120" i="1"/>
  <c r="CT120" i="1" s="1"/>
  <c r="AC112" i="1"/>
  <c r="CS112" i="1" s="1"/>
  <c r="AB113" i="1"/>
  <c r="BU117" i="1"/>
  <c r="CR177" i="1"/>
  <c r="I34" i="2" s="1"/>
  <c r="CQ177" i="1"/>
  <c r="DC70" i="1"/>
  <c r="Q108" i="1"/>
  <c r="L113" i="1"/>
  <c r="AU110" i="1"/>
  <c r="CV110" i="1" s="1"/>
  <c r="M55" i="2" s="1"/>
  <c r="AR113" i="1"/>
  <c r="CP64" i="1"/>
  <c r="CM59" i="1"/>
  <c r="CR20" i="1"/>
  <c r="DI20" i="1" s="1"/>
  <c r="DJ20" i="1" s="1"/>
  <c r="DK20" i="1" s="1"/>
  <c r="DL20" i="1" s="1"/>
  <c r="CB233" i="1"/>
  <c r="CE230" i="1"/>
  <c r="DB230" i="1" s="1"/>
  <c r="DA190" i="1"/>
  <c r="BC229" i="1"/>
  <c r="BV241" i="1"/>
  <c r="BY238" i="1"/>
  <c r="DA238" i="1" s="1"/>
  <c r="AI237" i="1"/>
  <c r="CT237" i="1" s="1"/>
  <c r="AE241" i="1"/>
  <c r="AH241" i="1"/>
  <c r="AI240" i="1"/>
  <c r="CT240" i="1" s="1"/>
  <c r="DC190" i="1"/>
  <c r="V184" i="1"/>
  <c r="AX241" i="1"/>
  <c r="BA238" i="1"/>
  <c r="CW238" i="1" s="1"/>
  <c r="CR171" i="1"/>
  <c r="CQ171" i="1"/>
  <c r="CJ232" i="1"/>
  <c r="BT233" i="1"/>
  <c r="BD230" i="1"/>
  <c r="AN233" i="1"/>
  <c r="AO232" i="1"/>
  <c r="CU232" i="1" s="1"/>
  <c r="CK206" i="1"/>
  <c r="DC206" i="1" s="1"/>
  <c r="DC195" i="1"/>
  <c r="BB241" i="1"/>
  <c r="BG236" i="1"/>
  <c r="CX236" i="1" s="1"/>
  <c r="CA229" i="1"/>
  <c r="BE233" i="1"/>
  <c r="BG231" i="1"/>
  <c r="CX231" i="1" s="1"/>
  <c r="Z230" i="1"/>
  <c r="Z150" i="1"/>
  <c r="BD150" i="1"/>
  <c r="BS237" i="1"/>
  <c r="CZ237" i="1" s="1"/>
  <c r="BO241" i="1"/>
  <c r="AC240" i="1"/>
  <c r="CS240" i="1" s="1"/>
  <c r="AB241" i="1"/>
  <c r="CX190" i="1"/>
  <c r="CD232" i="1"/>
  <c r="CD150" i="1"/>
  <c r="AD228" i="1"/>
  <c r="N241" i="1"/>
  <c r="Q238" i="1"/>
  <c r="CH230" i="1"/>
  <c r="CH150" i="1"/>
  <c r="BK231" i="1"/>
  <c r="AT232" i="1"/>
  <c r="CN184" i="1"/>
  <c r="AO206" i="1"/>
  <c r="CU206" i="1" s="1"/>
  <c r="U121" i="1"/>
  <c r="W119" i="1"/>
  <c r="Q124" i="1"/>
  <c r="L129" i="1"/>
  <c r="CQ75" i="1"/>
  <c r="BE121" i="1"/>
  <c r="BG119" i="1"/>
  <c r="CX119" i="1" s="1"/>
  <c r="O99" i="2" s="1"/>
  <c r="R116" i="1"/>
  <c r="CX57" i="1"/>
  <c r="O34" i="2" s="1"/>
  <c r="O36" i="2" s="1"/>
  <c r="BG59" i="1"/>
  <c r="BM112" i="1"/>
  <c r="CY112" i="1" s="1"/>
  <c r="BL113" i="1"/>
  <c r="P112" i="1"/>
  <c r="BM119" i="1"/>
  <c r="CY119" i="1" s="1"/>
  <c r="P99" i="2" s="1"/>
  <c r="BK121" i="1"/>
  <c r="AG121" i="1"/>
  <c r="AI119" i="1"/>
  <c r="CT119" i="1" s="1"/>
  <c r="BE111" i="1"/>
  <c r="CO59" i="1"/>
  <c r="CQ51" i="1"/>
  <c r="BY112" i="1"/>
  <c r="DA112" i="1" s="1"/>
  <c r="BX113" i="1"/>
  <c r="AI110" i="1"/>
  <c r="CT110" i="1" s="1"/>
  <c r="AF113" i="1"/>
  <c r="AQ94" i="1"/>
  <c r="AQ117" i="1" s="1"/>
  <c r="W117" i="1"/>
  <c r="S121" i="1"/>
  <c r="CD113" i="1"/>
  <c r="CE112" i="1"/>
  <c r="DB112" i="1" s="1"/>
  <c r="CK239" i="1"/>
  <c r="DC239" i="1" s="1"/>
  <c r="CI241" i="1"/>
  <c r="AU237" i="1"/>
  <c r="CV237" i="1" s="1"/>
  <c r="AQ241" i="1"/>
  <c r="CU190" i="1"/>
  <c r="AF233" i="1"/>
  <c r="AI230" i="1"/>
  <c r="CT230" i="1" s="1"/>
  <c r="BB228" i="1"/>
  <c r="CT190" i="1"/>
  <c r="CQ92" i="1"/>
  <c r="CR92" i="1"/>
  <c r="Z121" i="1"/>
  <c r="AC118" i="1"/>
  <c r="CS118" i="1" s="1"/>
  <c r="BR240" i="1"/>
  <c r="BR150" i="1"/>
  <c r="Z241" i="1"/>
  <c r="AC238" i="1"/>
  <c r="CS238" i="1" s="1"/>
  <c r="J98" i="2" s="1"/>
  <c r="AV241" i="1"/>
  <c r="BA236" i="1"/>
  <c r="CW236" i="1" s="1"/>
  <c r="CZ195" i="1"/>
  <c r="BS206" i="1"/>
  <c r="CZ206" i="1" s="1"/>
  <c r="CH241" i="1"/>
  <c r="CK238" i="1"/>
  <c r="DC238" i="1" s="1"/>
  <c r="CV190" i="1"/>
  <c r="AD241" i="1"/>
  <c r="AI236" i="1"/>
  <c r="CT236" i="1" s="1"/>
  <c r="K96" i="2" s="1"/>
  <c r="CY190" i="1"/>
  <c r="AT241" i="1"/>
  <c r="AU240" i="1"/>
  <c r="CV240" i="1" s="1"/>
  <c r="CF233" i="1"/>
  <c r="CK228" i="1"/>
  <c r="DC228" i="1" s="1"/>
  <c r="AZ233" i="1"/>
  <c r="BA232" i="1"/>
  <c r="CW232" i="1" s="1"/>
  <c r="CK179" i="1"/>
  <c r="AM231" i="1"/>
  <c r="AM150" i="1"/>
  <c r="CQ140" i="1"/>
  <c r="CR140" i="1"/>
  <c r="T214" i="1"/>
  <c r="T149" i="1" s="1"/>
  <c r="CN179" i="1"/>
  <c r="CX166" i="1"/>
  <c r="AP228" i="1"/>
  <c r="BX150" i="1"/>
  <c r="T233" i="1"/>
  <c r="W230" i="1"/>
  <c r="CZ190" i="1"/>
  <c r="AQ233" i="1"/>
  <c r="DB75" i="1"/>
  <c r="S74" i="2" s="1"/>
  <c r="S79" i="2" s="1"/>
  <c r="CE86" i="1"/>
  <c r="DB86" i="1" s="1"/>
  <c r="CW75" i="1"/>
  <c r="N74" i="2" s="1"/>
  <c r="N79" i="2" s="1"/>
  <c r="BA86" i="1"/>
  <c r="CW86" i="1" s="1"/>
  <c r="CT57" i="1"/>
  <c r="AI59" i="1"/>
  <c r="AY113" i="1"/>
  <c r="BA111" i="1"/>
  <c r="CW111" i="1" s="1"/>
  <c r="N56" i="2" s="1"/>
  <c r="AA113" i="1"/>
  <c r="AA104" i="1" s="1"/>
  <c r="AC111" i="1"/>
  <c r="CS111" i="1" s="1"/>
  <c r="CQ166" i="1"/>
  <c r="CQ78" i="1"/>
  <c r="BG118" i="1"/>
  <c r="CX118" i="1" s="1"/>
  <c r="O98" i="2" s="1"/>
  <c r="BD121" i="1"/>
  <c r="BM59" i="1"/>
  <c r="BY59" i="1"/>
  <c r="DA59" i="1" s="1"/>
  <c r="CK112" i="1"/>
  <c r="DC112" i="1" s="1"/>
  <c r="CJ113" i="1"/>
  <c r="CX75" i="1"/>
  <c r="O74" i="2" s="1"/>
  <c r="O79" i="2" s="1"/>
  <c r="BG86" i="1"/>
  <c r="CX86" i="1" s="1"/>
  <c r="CN86" i="1"/>
  <c r="CC119" i="1"/>
  <c r="CS70" i="1"/>
  <c r="CQ57" i="1"/>
  <c r="CR70" i="1"/>
  <c r="DI70" i="1" s="1"/>
  <c r="DJ83" i="1"/>
  <c r="DK83" i="1" s="1"/>
  <c r="DL83" i="1" s="1"/>
  <c r="DM83" i="1" s="1"/>
  <c r="DN83" i="1" s="1"/>
  <c r="DO83" i="1" s="1"/>
  <c r="DP83" i="1" s="1"/>
  <c r="DQ83" i="1" s="1"/>
  <c r="DR83" i="1" s="1"/>
  <c r="DS83" i="1" s="1"/>
  <c r="DT83" i="1" s="1"/>
  <c r="BS110" i="1"/>
  <c r="CZ110" i="1" s="1"/>
  <c r="Q55" i="2" s="1"/>
  <c r="BP113" i="1"/>
  <c r="T110" i="1"/>
  <c r="CN64" i="1"/>
  <c r="CP86" i="1"/>
  <c r="T94" i="1"/>
  <c r="T97" i="1" s="1"/>
  <c r="CQ46" i="1"/>
  <c r="DG19" i="1"/>
  <c r="CQ83" i="1"/>
  <c r="V78" i="2" l="1"/>
  <c r="BW113" i="1"/>
  <c r="V77" i="2"/>
  <c r="L33" i="2"/>
  <c r="L36" i="2" s="1"/>
  <c r="CE111" i="1"/>
  <c r="DB111" i="1" s="1"/>
  <c r="S56" i="2" s="1"/>
  <c r="L79" i="2"/>
  <c r="BS230" i="1"/>
  <c r="CZ230" i="1" s="1"/>
  <c r="M100" i="2"/>
  <c r="M98" i="2"/>
  <c r="AO112" i="1"/>
  <c r="CU112" i="1" s="1"/>
  <c r="L98" i="2"/>
  <c r="L97" i="2"/>
  <c r="V29" i="2"/>
  <c r="W29" i="2" s="1"/>
  <c r="AJ241" i="1"/>
  <c r="AO241" i="1" s="1"/>
  <c r="CU241" i="1" s="1"/>
  <c r="L99" i="2"/>
  <c r="AO228" i="1"/>
  <c r="CU228" i="1" s="1"/>
  <c r="U75" i="2"/>
  <c r="AO240" i="1"/>
  <c r="CU240" i="1" s="1"/>
  <c r="L100" i="2" s="1"/>
  <c r="CC233" i="1"/>
  <c r="M121" i="1"/>
  <c r="Q121" i="1" s="1"/>
  <c r="Q117" i="1"/>
  <c r="H97" i="2" s="1"/>
  <c r="AI112" i="1"/>
  <c r="CT112" i="1" s="1"/>
  <c r="BA112" i="1"/>
  <c r="CW112" i="1" s="1"/>
  <c r="N57" i="2" s="1"/>
  <c r="CK149" i="1"/>
  <c r="BV113" i="1"/>
  <c r="AO229" i="1"/>
  <c r="CU229" i="1" s="1"/>
  <c r="CE149" i="1"/>
  <c r="BZ29" i="1"/>
  <c r="BZ30" i="1" s="1"/>
  <c r="DJ70" i="1"/>
  <c r="DK70" i="1" s="1"/>
  <c r="AA97" i="1"/>
  <c r="AA105" i="1" s="1"/>
  <c r="AA127" i="1" s="1"/>
  <c r="AA129" i="1" s="1"/>
  <c r="AA29" i="1"/>
  <c r="AA30" i="1" s="1"/>
  <c r="J79" i="2"/>
  <c r="J83" i="2" s="1"/>
  <c r="BN113" i="1"/>
  <c r="BN104" i="1" s="1"/>
  <c r="CF113" i="1"/>
  <c r="CF104" i="1" s="1"/>
  <c r="V149" i="1"/>
  <c r="BL121" i="1"/>
  <c r="AR121" i="1"/>
  <c r="K100" i="2"/>
  <c r="BZ121" i="1"/>
  <c r="BS149" i="1"/>
  <c r="BT113" i="1"/>
  <c r="BT104" i="1" s="1"/>
  <c r="BS109" i="1"/>
  <c r="CZ109" i="1" s="1"/>
  <c r="Q54" i="2" s="1"/>
  <c r="BA108" i="1"/>
  <c r="CW108" i="1" s="1"/>
  <c r="N53" i="2" s="1"/>
  <c r="T217" i="1"/>
  <c r="CN217" i="1" s="1"/>
  <c r="AW121" i="1"/>
  <c r="AT129" i="1"/>
  <c r="V113" i="1"/>
  <c r="AB233" i="1"/>
  <c r="AI149" i="1"/>
  <c r="BK241" i="1"/>
  <c r="BM241" i="1" s="1"/>
  <c r="CY241" i="1" s="1"/>
  <c r="AU149" i="1"/>
  <c r="BH113" i="1"/>
  <c r="BH104" i="1" s="1"/>
  <c r="AQ113" i="1"/>
  <c r="AQ104" i="1" s="1"/>
  <c r="J15" i="2"/>
  <c r="CO217" i="1"/>
  <c r="BD225" i="1"/>
  <c r="BD246" i="1" s="1"/>
  <c r="BD249" i="1" s="1"/>
  <c r="AC117" i="1"/>
  <c r="CS117" i="1" s="1"/>
  <c r="CP217" i="1"/>
  <c r="BG149" i="1"/>
  <c r="AO108" i="1"/>
  <c r="CU108" i="1" s="1"/>
  <c r="L53" i="2" s="1"/>
  <c r="K97" i="2"/>
  <c r="CB113" i="1"/>
  <c r="BU113" i="1"/>
  <c r="BU104" i="1" s="1"/>
  <c r="J99" i="2"/>
  <c r="BM149" i="1"/>
  <c r="BM150" i="1" s="1"/>
  <c r="CY150" i="1" s="1"/>
  <c r="AO149" i="1"/>
  <c r="T29" i="1"/>
  <c r="BW233" i="1"/>
  <c r="X116" i="1"/>
  <c r="AC116" i="1" s="1"/>
  <c r="CS116" i="1" s="1"/>
  <c r="X97" i="1"/>
  <c r="X217" i="1"/>
  <c r="AY239" i="1"/>
  <c r="BA239" i="1" s="1"/>
  <c r="CW239" i="1" s="1"/>
  <c r="AY149" i="1"/>
  <c r="BA149" i="1" s="1"/>
  <c r="AI217" i="1"/>
  <c r="CT217" i="1" s="1"/>
  <c r="CO184" i="1"/>
  <c r="U149" i="1"/>
  <c r="H79" i="2"/>
  <c r="H83" i="2" s="1"/>
  <c r="AD225" i="1"/>
  <c r="AD244" i="1" s="1"/>
  <c r="AD249" i="1" s="1"/>
  <c r="K99" i="2"/>
  <c r="Q41" i="2"/>
  <c r="X29" i="1"/>
  <c r="BY149" i="1"/>
  <c r="J97" i="2"/>
  <c r="K34" i="2"/>
  <c r="K36" i="2" s="1"/>
  <c r="K41" i="2" s="1"/>
  <c r="K49" i="2" s="1"/>
  <c r="CR179" i="1"/>
  <c r="V75" i="2"/>
  <c r="W75" i="2" s="1"/>
  <c r="K74" i="2"/>
  <c r="K79" i="2" s="1"/>
  <c r="K83" i="2" s="1"/>
  <c r="I33" i="2"/>
  <c r="K55" i="2"/>
  <c r="DD19" i="1"/>
  <c r="DE19" i="1"/>
  <c r="U225" i="1"/>
  <c r="BY184" i="1"/>
  <c r="DA184" i="1" s="1"/>
  <c r="J36" i="2"/>
  <c r="CE108" i="1"/>
  <c r="DB108" i="1" s="1"/>
  <c r="S53" i="2" s="1"/>
  <c r="BA184" i="1"/>
  <c r="CW184" i="1" s="1"/>
  <c r="U76" i="2"/>
  <c r="CK110" i="1"/>
  <c r="DC110" i="1" s="1"/>
  <c r="T55" i="2" s="1"/>
  <c r="L41" i="2"/>
  <c r="L49" i="2" s="1"/>
  <c r="BM184" i="1"/>
  <c r="CY184" i="1" s="1"/>
  <c r="R83" i="2"/>
  <c r="R41" i="2"/>
  <c r="M41" i="2"/>
  <c r="P41" i="2"/>
  <c r="T41" i="2"/>
  <c r="S41" i="2"/>
  <c r="BV129" i="1"/>
  <c r="AI184" i="1"/>
  <c r="CT184" i="1" s="1"/>
  <c r="AP113" i="1"/>
  <c r="AP104" i="1" s="1"/>
  <c r="S83" i="2"/>
  <c r="Q83" i="2"/>
  <c r="T83" i="2"/>
  <c r="O41" i="2"/>
  <c r="N41" i="2"/>
  <c r="T57" i="2"/>
  <c r="S57" i="2"/>
  <c r="P57" i="2"/>
  <c r="R57" i="2"/>
  <c r="R58" i="2" s="1"/>
  <c r="BM110" i="1"/>
  <c r="CY110" i="1" s="1"/>
  <c r="P55" i="2" s="1"/>
  <c r="J57" i="2"/>
  <c r="L57" i="2"/>
  <c r="U90" i="2"/>
  <c r="V90" i="2" s="1"/>
  <c r="U45" i="2"/>
  <c r="I47" i="2"/>
  <c r="BS128" i="1"/>
  <c r="CZ128" i="1" s="1"/>
  <c r="AF129" i="1"/>
  <c r="U231" i="1"/>
  <c r="U233" i="1" s="1"/>
  <c r="U22" i="2"/>
  <c r="BL129" i="1"/>
  <c r="U87" i="2"/>
  <c r="V11" i="2"/>
  <c r="W11" i="2" s="1"/>
  <c r="BS248" i="1"/>
  <c r="CZ248" i="1" s="1"/>
  <c r="BR249" i="1"/>
  <c r="AU184" i="1"/>
  <c r="CV184" i="1" s="1"/>
  <c r="BK249" i="1"/>
  <c r="U39" i="2"/>
  <c r="CM117" i="1"/>
  <c r="CE214" i="1"/>
  <c r="DB214" i="1" s="1"/>
  <c r="U23" i="2"/>
  <c r="AD113" i="1"/>
  <c r="AD104" i="1" s="1"/>
  <c r="CK121" i="1"/>
  <c r="DC121" i="1" s="1"/>
  <c r="U114" i="2"/>
  <c r="U46" i="2"/>
  <c r="I15" i="2"/>
  <c r="I71" i="2"/>
  <c r="I30" i="2"/>
  <c r="CK94" i="1"/>
  <c r="DC94" i="1" s="1"/>
  <c r="BS112" i="1"/>
  <c r="CZ112" i="1" s="1"/>
  <c r="CC129" i="1"/>
  <c r="AU247" i="1"/>
  <c r="CV247" i="1" s="1"/>
  <c r="AS249" i="1"/>
  <c r="W77" i="2"/>
  <c r="W78" i="2"/>
  <c r="AC231" i="1"/>
  <c r="CS231" i="1" s="1"/>
  <c r="V240" i="1"/>
  <c r="V241" i="1" s="1"/>
  <c r="W28" i="2"/>
  <c r="W26" i="2"/>
  <c r="W19" i="2"/>
  <c r="BY241" i="1"/>
  <c r="DA241" i="1" s="1"/>
  <c r="BS229" i="1"/>
  <c r="CZ229" i="1" s="1"/>
  <c r="V12" i="2"/>
  <c r="W12" i="2" s="1"/>
  <c r="V13" i="2"/>
  <c r="W13" i="2" s="1"/>
  <c r="W38" i="2"/>
  <c r="U89" i="2"/>
  <c r="V89" i="2" s="1"/>
  <c r="BS184" i="1"/>
  <c r="CZ184" i="1" s="1"/>
  <c r="W110" i="2"/>
  <c r="W25" i="2"/>
  <c r="W27" i="2"/>
  <c r="W69" i="2"/>
  <c r="DK103" i="1"/>
  <c r="DL103" i="1" s="1"/>
  <c r="DM103" i="1" s="1"/>
  <c r="DN103" i="1" s="1"/>
  <c r="DO103" i="1" s="1"/>
  <c r="DP103" i="1" s="1"/>
  <c r="DQ103" i="1" s="1"/>
  <c r="DR103" i="1" s="1"/>
  <c r="DS103" i="1" s="1"/>
  <c r="DT103" i="1" s="1"/>
  <c r="BG127" i="1"/>
  <c r="CX127" i="1" s="1"/>
  <c r="U24" i="2"/>
  <c r="V24" i="2" s="1"/>
  <c r="U21" i="2"/>
  <c r="V21" i="2" s="1"/>
  <c r="BS64" i="1"/>
  <c r="CZ64" i="1" s="1"/>
  <c r="U88" i="2"/>
  <c r="V88" i="2" s="1"/>
  <c r="U35" i="2"/>
  <c r="V35" i="2" s="1"/>
  <c r="U70" i="2"/>
  <c r="AL113" i="1"/>
  <c r="U14" i="2"/>
  <c r="CO214" i="1"/>
  <c r="AO64" i="1"/>
  <c r="CU64" i="1" s="1"/>
  <c r="BA229" i="1"/>
  <c r="CW229" i="1" s="1"/>
  <c r="AW233" i="1"/>
  <c r="I79" i="2"/>
  <c r="Q233" i="1"/>
  <c r="BH150" i="1"/>
  <c r="AY225" i="1"/>
  <c r="DI92" i="1"/>
  <c r="DJ92" i="1" s="1"/>
  <c r="DK92" i="1" s="1"/>
  <c r="DL92" i="1" s="1"/>
  <c r="DM92" i="1" s="1"/>
  <c r="DN92" i="1" s="1"/>
  <c r="DO92" i="1" s="1"/>
  <c r="DP92" i="1" s="1"/>
  <c r="DQ92" i="1" s="1"/>
  <c r="DR92" i="1" s="1"/>
  <c r="DS92" i="1" s="1"/>
  <c r="DT92" i="1" s="1"/>
  <c r="DL51" i="1"/>
  <c r="DM51" i="1" s="1"/>
  <c r="DN51" i="1" s="1"/>
  <c r="DO51" i="1" s="1"/>
  <c r="DP51" i="1" s="1"/>
  <c r="DQ51" i="1" s="1"/>
  <c r="DR51" i="1" s="1"/>
  <c r="DS51" i="1" s="1"/>
  <c r="DT51" i="1" s="1"/>
  <c r="BG128" i="1"/>
  <c r="CX128" i="1" s="1"/>
  <c r="AL129" i="1"/>
  <c r="AU112" i="1"/>
  <c r="CV112" i="1" s="1"/>
  <c r="DJ75" i="1"/>
  <c r="DK75" i="1" s="1"/>
  <c r="DL75" i="1" s="1"/>
  <c r="DM75" i="1" s="1"/>
  <c r="DN75" i="1" s="1"/>
  <c r="DO75" i="1" s="1"/>
  <c r="DP75" i="1" s="1"/>
  <c r="DQ75" i="1" s="1"/>
  <c r="DR75" i="1" s="1"/>
  <c r="DS75" i="1" s="1"/>
  <c r="DT75" i="1" s="1"/>
  <c r="CP120" i="1"/>
  <c r="CP112" i="1"/>
  <c r="DJ57" i="1"/>
  <c r="DK57" i="1" s="1"/>
  <c r="DL57" i="1" s="1"/>
  <c r="DM57" i="1" s="1"/>
  <c r="DN57" i="1" s="1"/>
  <c r="DO57" i="1" s="1"/>
  <c r="DP57" i="1" s="1"/>
  <c r="DQ57" i="1" s="1"/>
  <c r="DR57" i="1" s="1"/>
  <c r="DS57" i="1" s="1"/>
  <c r="DT57" i="1" s="1"/>
  <c r="BF248" i="1"/>
  <c r="BG248" i="1" s="1"/>
  <c r="CX248" i="1" s="1"/>
  <c r="AE245" i="1"/>
  <c r="AB248" i="1"/>
  <c r="AB249" i="1" s="1"/>
  <c r="BX248" i="1"/>
  <c r="Z246" i="1"/>
  <c r="AA247" i="1"/>
  <c r="AK245" i="1"/>
  <c r="BQ247" i="1"/>
  <c r="AX246" i="1"/>
  <c r="AR246" i="1"/>
  <c r="AR249" i="1" s="1"/>
  <c r="AF246" i="1"/>
  <c r="AF249" i="1" s="1"/>
  <c r="AN248" i="1"/>
  <c r="AN249" i="1" s="1"/>
  <c r="BG214" i="1"/>
  <c r="CX214" i="1" s="1"/>
  <c r="CJ248" i="1"/>
  <c r="CK248" i="1" s="1"/>
  <c r="DC248" i="1" s="1"/>
  <c r="CI247" i="1"/>
  <c r="CI249" i="1" s="1"/>
  <c r="BE247" i="1"/>
  <c r="BE249" i="1" s="1"/>
  <c r="BA214" i="1"/>
  <c r="CW214" i="1" s="1"/>
  <c r="AC214" i="1"/>
  <c r="CS214" i="1" s="1"/>
  <c r="BV246" i="1"/>
  <c r="BY246" i="1" s="1"/>
  <c r="DA246" i="1" s="1"/>
  <c r="AZ248" i="1"/>
  <c r="AZ249" i="1" s="1"/>
  <c r="AG247" i="1"/>
  <c r="AG249" i="1" s="1"/>
  <c r="AH248" i="1"/>
  <c r="AI248" i="1" s="1"/>
  <c r="CT248" i="1" s="1"/>
  <c r="CD248" i="1"/>
  <c r="CE248" i="1" s="1"/>
  <c r="DB248" i="1" s="1"/>
  <c r="CH246" i="1"/>
  <c r="CK246" i="1" s="1"/>
  <c r="DC246" i="1" s="1"/>
  <c r="BW247" i="1"/>
  <c r="CB246" i="1"/>
  <c r="CE246" i="1" s="1"/>
  <c r="DB246" i="1" s="1"/>
  <c r="BL248" i="1"/>
  <c r="BM248" i="1" s="1"/>
  <c r="CY248" i="1" s="1"/>
  <c r="AL246" i="1"/>
  <c r="AL249" i="1" s="1"/>
  <c r="BP246" i="1"/>
  <c r="BP249" i="1" s="1"/>
  <c r="BJ246" i="1"/>
  <c r="BM246" i="1" s="1"/>
  <c r="CY246" i="1" s="1"/>
  <c r="AM247" i="1"/>
  <c r="CC247" i="1"/>
  <c r="AT248" i="1"/>
  <c r="BY214" i="1"/>
  <c r="DA214" i="1" s="1"/>
  <c r="BG184" i="1"/>
  <c r="CX184" i="1" s="1"/>
  <c r="AI214" i="1"/>
  <c r="CT214" i="1" s="1"/>
  <c r="H36" i="2"/>
  <c r="H41" i="2" s="1"/>
  <c r="H49" i="2" s="1"/>
  <c r="K30" i="1"/>
  <c r="H96" i="2"/>
  <c r="H99" i="2"/>
  <c r="H53" i="2"/>
  <c r="H56" i="2"/>
  <c r="BS121" i="1"/>
  <c r="CZ121" i="1" s="1"/>
  <c r="H55" i="2"/>
  <c r="BS94" i="1"/>
  <c r="CZ94" i="1" s="1"/>
  <c r="K105" i="1"/>
  <c r="BA64" i="1"/>
  <c r="CW64" i="1" s="1"/>
  <c r="H54" i="2"/>
  <c r="H100" i="2"/>
  <c r="CK64" i="1"/>
  <c r="DC64" i="1" s="1"/>
  <c r="CE184" i="1"/>
  <c r="DB184" i="1" s="1"/>
  <c r="AO184" i="1"/>
  <c r="CU184" i="1" s="1"/>
  <c r="BM214" i="1"/>
  <c r="CY214" i="1" s="1"/>
  <c r="BB113" i="1"/>
  <c r="BB104" i="1" s="1"/>
  <c r="BS214" i="1"/>
  <c r="CZ214" i="1" s="1"/>
  <c r="AU214" i="1"/>
  <c r="CV214" i="1" s="1"/>
  <c r="DJ59" i="1"/>
  <c r="AS241" i="1"/>
  <c r="AU241" i="1" s="1"/>
  <c r="CV241" i="1" s="1"/>
  <c r="AU239" i="1"/>
  <c r="CV239" i="1" s="1"/>
  <c r="M99" i="2" s="1"/>
  <c r="BQ233" i="1"/>
  <c r="BS231" i="1"/>
  <c r="CZ231" i="1" s="1"/>
  <c r="CP29" i="1"/>
  <c r="BS127" i="1"/>
  <c r="CZ127" i="1" s="1"/>
  <c r="BJ129" i="1"/>
  <c r="BA126" i="1"/>
  <c r="CW126" i="1" s="1"/>
  <c r="P223" i="1"/>
  <c r="P225" i="1" s="1"/>
  <c r="P248" i="1" s="1"/>
  <c r="P249" i="1" s="1"/>
  <c r="Q249" i="1" s="1"/>
  <c r="AI241" i="1"/>
  <c r="CT241" i="1" s="1"/>
  <c r="CH129" i="1"/>
  <c r="CC241" i="1"/>
  <c r="CE239" i="1"/>
  <c r="DB239" i="1" s="1"/>
  <c r="BG112" i="1"/>
  <c r="CX112" i="1" s="1"/>
  <c r="BF113" i="1"/>
  <c r="W94" i="1"/>
  <c r="CR94" i="1" s="1"/>
  <c r="DI94" i="1" s="1"/>
  <c r="DJ94" i="1" s="1"/>
  <c r="CK241" i="1"/>
  <c r="DC241" i="1" s="1"/>
  <c r="AI121" i="1"/>
  <c r="CT121" i="1" s="1"/>
  <c r="CK214" i="1"/>
  <c r="DC214" i="1" s="1"/>
  <c r="CN230" i="1"/>
  <c r="CG113" i="1"/>
  <c r="CG104" i="1" s="1"/>
  <c r="CK109" i="1"/>
  <c r="DC109" i="1" s="1"/>
  <c r="T54" i="2" s="1"/>
  <c r="CQ59" i="1"/>
  <c r="CO119" i="1"/>
  <c r="BQ113" i="1"/>
  <c r="BS111" i="1"/>
  <c r="CZ111" i="1" s="1"/>
  <c r="Q56" i="2" s="1"/>
  <c r="AX113" i="1"/>
  <c r="BA110" i="1"/>
  <c r="CW110" i="1" s="1"/>
  <c r="N55" i="2" s="1"/>
  <c r="CV59" i="1"/>
  <c r="AU64" i="1"/>
  <c r="CV64" i="1" s="1"/>
  <c r="AY233" i="1"/>
  <c r="BA231" i="1"/>
  <c r="CW231" i="1" s="1"/>
  <c r="CR214" i="1"/>
  <c r="AY129" i="1"/>
  <c r="BA127" i="1"/>
  <c r="CW127" i="1" s="1"/>
  <c r="CR230" i="1"/>
  <c r="I55" i="2" s="1"/>
  <c r="AN129" i="1"/>
  <c r="AO128" i="1"/>
  <c r="CU128" i="1" s="1"/>
  <c r="Z129" i="1"/>
  <c r="AC126" i="1"/>
  <c r="CS126" i="1" s="1"/>
  <c r="AP150" i="1"/>
  <c r="DC179" i="1"/>
  <c r="CK184" i="1"/>
  <c r="DC184" i="1" s="1"/>
  <c r="BR241" i="1"/>
  <c r="BS241" i="1" s="1"/>
  <c r="CZ241" i="1" s="1"/>
  <c r="BS240" i="1"/>
  <c r="CZ240" i="1" s="1"/>
  <c r="CR117" i="1"/>
  <c r="DI117" i="1" s="1"/>
  <c r="AU117" i="1"/>
  <c r="CV117" i="1" s="1"/>
  <c r="M97" i="2" s="1"/>
  <c r="AQ121" i="1"/>
  <c r="BE113" i="1"/>
  <c r="BG111" i="1"/>
  <c r="CX111" i="1" s="1"/>
  <c r="O56" i="2" s="1"/>
  <c r="P103" i="1"/>
  <c r="P105" i="1" s="1"/>
  <c r="P128" i="1" s="1"/>
  <c r="Q102" i="1"/>
  <c r="Q103" i="1" s="1"/>
  <c r="S233" i="1"/>
  <c r="S224" i="1" s="1"/>
  <c r="W229" i="1"/>
  <c r="CF150" i="1"/>
  <c r="AU232" i="1"/>
  <c r="CV232" i="1" s="1"/>
  <c r="AT233" i="1"/>
  <c r="CK230" i="1"/>
  <c r="DC230" i="1" s="1"/>
  <c r="CH233" i="1"/>
  <c r="AD150" i="1"/>
  <c r="BG241" i="1"/>
  <c r="CX241" i="1" s="1"/>
  <c r="BG229" i="1"/>
  <c r="CX229" i="1" s="1"/>
  <c r="BC233" i="1"/>
  <c r="BA128" i="1"/>
  <c r="CW128" i="1" s="1"/>
  <c r="AZ129" i="1"/>
  <c r="AH129" i="1"/>
  <c r="AI128" i="1"/>
  <c r="CT128" i="1" s="1"/>
  <c r="CD129" i="1"/>
  <c r="CE128" i="1"/>
  <c r="DB128" i="1" s="1"/>
  <c r="BK129" i="1"/>
  <c r="BM127" i="1"/>
  <c r="CY127" i="1" s="1"/>
  <c r="BT150" i="1"/>
  <c r="BA230" i="1"/>
  <c r="CW230" i="1" s="1"/>
  <c r="AX233" i="1"/>
  <c r="AI232" i="1"/>
  <c r="CT232" i="1" s="1"/>
  <c r="K57" i="2" s="1"/>
  <c r="AH233" i="1"/>
  <c r="BT225" i="1"/>
  <c r="BT244" i="1" s="1"/>
  <c r="Q241" i="1"/>
  <c r="R241" i="1"/>
  <c r="W236" i="1"/>
  <c r="CL236" i="1"/>
  <c r="AI94" i="1"/>
  <c r="CT94" i="1" s="1"/>
  <c r="CK231" i="1"/>
  <c r="DC231" i="1" s="1"/>
  <c r="CI233" i="1"/>
  <c r="U113" i="1"/>
  <c r="CO111" i="1"/>
  <c r="W111" i="1"/>
  <c r="DB59" i="1"/>
  <c r="CE64" i="1"/>
  <c r="DB64" i="1" s="1"/>
  <c r="V128" i="1"/>
  <c r="CP105" i="1"/>
  <c r="AS129" i="1"/>
  <c r="AU127" i="1"/>
  <c r="CV127" i="1" s="1"/>
  <c r="AC120" i="1"/>
  <c r="CS120" i="1" s="1"/>
  <c r="J100" i="2" s="1"/>
  <c r="AB121" i="1"/>
  <c r="BG232" i="1"/>
  <c r="CX232" i="1" s="1"/>
  <c r="BF233" i="1"/>
  <c r="BZ225" i="1"/>
  <c r="BZ244" i="1" s="1"/>
  <c r="DG20" i="1"/>
  <c r="U105" i="1"/>
  <c r="CY59" i="1"/>
  <c r="BM64" i="1"/>
  <c r="CY64" i="1" s="1"/>
  <c r="CF225" i="1"/>
  <c r="CF244" i="1" s="1"/>
  <c r="AU228" i="1"/>
  <c r="CV228" i="1" s="1"/>
  <c r="M53" i="2" s="1"/>
  <c r="AP233" i="1"/>
  <c r="BB150" i="1"/>
  <c r="AU126" i="1"/>
  <c r="CV126" i="1" s="1"/>
  <c r="AR129" i="1"/>
  <c r="Q112" i="1"/>
  <c r="P113" i="1"/>
  <c r="Q113" i="1" s="1"/>
  <c r="AI109" i="1"/>
  <c r="CT109" i="1" s="1"/>
  <c r="AE113" i="1"/>
  <c r="AE104" i="1" s="1"/>
  <c r="CE109" i="1"/>
  <c r="DB109" i="1" s="1"/>
  <c r="S54" i="2" s="1"/>
  <c r="CA113" i="1"/>
  <c r="W116" i="1"/>
  <c r="R121" i="1"/>
  <c r="AD233" i="1"/>
  <c r="AI228" i="1"/>
  <c r="CT228" i="1" s="1"/>
  <c r="K53" i="2" s="1"/>
  <c r="BD129" i="1"/>
  <c r="BG126" i="1"/>
  <c r="CX126" i="1" s="1"/>
  <c r="S30" i="1"/>
  <c r="BK113" i="1"/>
  <c r="BM111" i="1"/>
  <c r="CY111" i="1" s="1"/>
  <c r="P56" i="2" s="1"/>
  <c r="CM237" i="1"/>
  <c r="W237" i="1"/>
  <c r="S241" i="1"/>
  <c r="CM241" i="1" s="1"/>
  <c r="AV150" i="1"/>
  <c r="AI229" i="1"/>
  <c r="CT229" i="1" s="1"/>
  <c r="AE233" i="1"/>
  <c r="CR112" i="1"/>
  <c r="BY94" i="1"/>
  <c r="DA94" i="1" s="1"/>
  <c r="CP97" i="1"/>
  <c r="BN150" i="1"/>
  <c r="BY128" i="1"/>
  <c r="DA128" i="1" s="1"/>
  <c r="BX129" i="1"/>
  <c r="BW129" i="1"/>
  <c r="BY127" i="1"/>
  <c r="DA127" i="1" s="1"/>
  <c r="BY230" i="1"/>
  <c r="DA230" i="1" s="1"/>
  <c r="BV233" i="1"/>
  <c r="BY233" i="1" s="1"/>
  <c r="DA233" i="1" s="1"/>
  <c r="BZ150" i="1"/>
  <c r="BA240" i="1"/>
  <c r="CW240" i="1" s="1"/>
  <c r="AZ241" i="1"/>
  <c r="CN94" i="1"/>
  <c r="T118" i="1"/>
  <c r="BN225" i="1"/>
  <c r="BN244" i="1" s="1"/>
  <c r="W109" i="1"/>
  <c r="S113" i="1"/>
  <c r="AC128" i="1"/>
  <c r="CS128" i="1" s="1"/>
  <c r="AB129" i="1"/>
  <c r="CJ129" i="1"/>
  <c r="CK128" i="1"/>
  <c r="DC128" i="1" s="1"/>
  <c r="CP30" i="1"/>
  <c r="AW113" i="1"/>
  <c r="AW104" i="1" s="1"/>
  <c r="BA109" i="1"/>
  <c r="CW109" i="1" s="1"/>
  <c r="N54" i="2" s="1"/>
  <c r="CT59" i="1"/>
  <c r="AI64" i="1"/>
  <c r="CT64" i="1" s="1"/>
  <c r="BB233" i="1"/>
  <c r="BG228" i="1"/>
  <c r="CX228" i="1" s="1"/>
  <c r="AO214" i="1"/>
  <c r="CU214" i="1" s="1"/>
  <c r="AG113" i="1"/>
  <c r="AG104" i="1" s="1"/>
  <c r="AI111" i="1"/>
  <c r="CT111" i="1" s="1"/>
  <c r="K56" i="2" s="1"/>
  <c r="CX59" i="1"/>
  <c r="BG64" i="1"/>
  <c r="CX64" i="1" s="1"/>
  <c r="BK233" i="1"/>
  <c r="BM231" i="1"/>
  <c r="CY231" i="1" s="1"/>
  <c r="AC230" i="1"/>
  <c r="CS230" i="1" s="1"/>
  <c r="Z233" i="1"/>
  <c r="CE229" i="1"/>
  <c r="DB229" i="1" s="1"/>
  <c r="CA233" i="1"/>
  <c r="V232" i="1"/>
  <c r="CP184" i="1"/>
  <c r="CM94" i="1"/>
  <c r="BU121" i="1"/>
  <c r="BY117" i="1"/>
  <c r="DA117" i="1" s="1"/>
  <c r="R97" i="2" s="1"/>
  <c r="CI129" i="1"/>
  <c r="CK127" i="1"/>
  <c r="DC127" i="1" s="1"/>
  <c r="CS86" i="1"/>
  <c r="DJ86" i="1" s="1"/>
  <c r="DK86" i="1" s="1"/>
  <c r="DL86" i="1" s="1"/>
  <c r="DM86" i="1" s="1"/>
  <c r="DN86" i="1" s="1"/>
  <c r="DO86" i="1" s="1"/>
  <c r="DP86" i="1" s="1"/>
  <c r="DQ86" i="1" s="1"/>
  <c r="DR86" i="1" s="1"/>
  <c r="DS86" i="1" s="1"/>
  <c r="DT86" i="1" s="1"/>
  <c r="CQ86" i="1"/>
  <c r="AO230" i="1"/>
  <c r="CU230" i="1" s="1"/>
  <c r="L55" i="2" s="1"/>
  <c r="AL233" i="1"/>
  <c r="X241" i="1"/>
  <c r="AC241" i="1" s="1"/>
  <c r="CS241" i="1" s="1"/>
  <c r="AC236" i="1"/>
  <c r="CS236" i="1" s="1"/>
  <c r="U30" i="1"/>
  <c r="BS228" i="1"/>
  <c r="CZ228" i="1" s="1"/>
  <c r="BN233" i="1"/>
  <c r="BI113" i="1"/>
  <c r="BI104" i="1" s="1"/>
  <c r="BM109" i="1"/>
  <c r="CY109" i="1" s="1"/>
  <c r="P54" i="2" s="1"/>
  <c r="BY120" i="1"/>
  <c r="DA120" i="1" s="1"/>
  <c r="R100" i="2" s="1"/>
  <c r="BX121" i="1"/>
  <c r="AS113" i="1"/>
  <c r="AU111" i="1"/>
  <c r="CV111" i="1" s="1"/>
  <c r="M56" i="2" s="1"/>
  <c r="S125" i="1"/>
  <c r="AY121" i="1"/>
  <c r="BA119" i="1"/>
  <c r="CW119" i="1" s="1"/>
  <c r="N99" i="2" s="1"/>
  <c r="BZ233" i="1"/>
  <c r="CE228" i="1"/>
  <c r="DB228" i="1" s="1"/>
  <c r="BS126" i="1"/>
  <c r="CZ126" i="1" s="1"/>
  <c r="BP129" i="1"/>
  <c r="W110" i="1"/>
  <c r="T113" i="1"/>
  <c r="CN110" i="1"/>
  <c r="CC121" i="1"/>
  <c r="CE119" i="1"/>
  <c r="DB119" i="1" s="1"/>
  <c r="S99" i="2" s="1"/>
  <c r="T238" i="1"/>
  <c r="CN214" i="1"/>
  <c r="AO231" i="1"/>
  <c r="CU231" i="1" s="1"/>
  <c r="AM233" i="1"/>
  <c r="CB129" i="1"/>
  <c r="CE126" i="1"/>
  <c r="DB126" i="1" s="1"/>
  <c r="BZ129" i="1"/>
  <c r="CE124" i="1"/>
  <c r="DB124" i="1" s="1"/>
  <c r="BG109" i="1"/>
  <c r="CX109" i="1" s="1"/>
  <c r="O54" i="2" s="1"/>
  <c r="BC113" i="1"/>
  <c r="BC104" i="1" s="1"/>
  <c r="CR119" i="1"/>
  <c r="DI119" i="1" s="1"/>
  <c r="DJ119" i="1" s="1"/>
  <c r="DK119" i="1" s="1"/>
  <c r="DL119" i="1" s="1"/>
  <c r="DM119" i="1" s="1"/>
  <c r="CE232" i="1"/>
  <c r="DB232" i="1" s="1"/>
  <c r="CD233" i="1"/>
  <c r="BD233" i="1"/>
  <c r="BG230" i="1"/>
  <c r="CX230" i="1" s="1"/>
  <c r="CJ233" i="1"/>
  <c r="CK232" i="1"/>
  <c r="DC232" i="1" s="1"/>
  <c r="AO111" i="1"/>
  <c r="CU111" i="1" s="1"/>
  <c r="L56" i="2" s="1"/>
  <c r="AM113" i="1"/>
  <c r="AM104" i="1" s="1"/>
  <c r="CK111" i="1"/>
  <c r="DC111" i="1" s="1"/>
  <c r="T56" i="2" s="1"/>
  <c r="CI113" i="1"/>
  <c r="CR120" i="1"/>
  <c r="DI120" i="1" s="1"/>
  <c r="CR206" i="1"/>
  <c r="CQ206" i="1"/>
  <c r="BY64" i="1"/>
  <c r="DA64" i="1" s="1"/>
  <c r="CE94" i="1"/>
  <c r="DB94" i="1" s="1"/>
  <c r="AK113" i="1"/>
  <c r="AK104" i="1" s="1"/>
  <c r="AO109" i="1"/>
  <c r="CU109" i="1" s="1"/>
  <c r="L54" i="2" s="1"/>
  <c r="CQ179" i="1"/>
  <c r="BW121" i="1"/>
  <c r="BY119" i="1"/>
  <c r="DA119" i="1" s="1"/>
  <c r="R99" i="2" s="1"/>
  <c r="BM230" i="1"/>
  <c r="CY230" i="1" s="1"/>
  <c r="BJ233" i="1"/>
  <c r="CP113" i="1" l="1"/>
  <c r="CM224" i="1"/>
  <c r="S217" i="1"/>
  <c r="S225" i="1" s="1"/>
  <c r="S245" i="1" s="1"/>
  <c r="S249" i="1" s="1"/>
  <c r="S149" i="1"/>
  <c r="AY150" i="1"/>
  <c r="CO104" i="1"/>
  <c r="DJ117" i="1"/>
  <c r="DK117" i="1" s="1"/>
  <c r="DL117" i="1" s="1"/>
  <c r="DM117" i="1" s="1"/>
  <c r="DN117" i="1" s="1"/>
  <c r="DO117" i="1" s="1"/>
  <c r="DP117" i="1" s="1"/>
  <c r="DQ117" i="1" s="1"/>
  <c r="DR117" i="1" s="1"/>
  <c r="DS117" i="1" s="1"/>
  <c r="DT117" i="1" s="1"/>
  <c r="AD97" i="1"/>
  <c r="AD105" i="1" s="1"/>
  <c r="AD124" i="1" s="1"/>
  <c r="AD29" i="1"/>
  <c r="AD30" i="1" s="1"/>
  <c r="BN97" i="1"/>
  <c r="BN29" i="1"/>
  <c r="AC127" i="1"/>
  <c r="CS127" i="1" s="1"/>
  <c r="AU104" i="1"/>
  <c r="CV104" i="1" s="1"/>
  <c r="BT29" i="1"/>
  <c r="BT30" i="1" s="1"/>
  <c r="BT97" i="1"/>
  <c r="BT105" i="1" s="1"/>
  <c r="BT124" i="1" s="1"/>
  <c r="BY124" i="1" s="1"/>
  <c r="DA124" i="1" s="1"/>
  <c r="BS104" i="1"/>
  <c r="CZ104" i="1" s="1"/>
  <c r="AM29" i="1"/>
  <c r="AM30" i="1" s="1"/>
  <c r="AM97" i="1"/>
  <c r="AM105" i="1" s="1"/>
  <c r="AM127" i="1" s="1"/>
  <c r="AG29" i="1"/>
  <c r="AG97" i="1"/>
  <c r="AG105" i="1" s="1"/>
  <c r="AG127" i="1" s="1"/>
  <c r="CF97" i="1"/>
  <c r="CF105" i="1" s="1"/>
  <c r="CF124" i="1" s="1"/>
  <c r="CF129" i="1" s="1"/>
  <c r="CF29" i="1"/>
  <c r="CF30" i="1" s="1"/>
  <c r="CL104" i="1"/>
  <c r="BA104" i="1"/>
  <c r="CW104" i="1" s="1"/>
  <c r="AI104" i="1"/>
  <c r="CT104" i="1" s="1"/>
  <c r="AE97" i="1"/>
  <c r="AE29" i="1"/>
  <c r="BM104" i="1"/>
  <c r="CY104" i="1" s="1"/>
  <c r="BG104" i="1"/>
  <c r="CX104" i="1" s="1"/>
  <c r="CE113" i="1"/>
  <c r="DB113" i="1" s="1"/>
  <c r="CA104" i="1"/>
  <c r="BY104" i="1"/>
  <c r="DA104" i="1" s="1"/>
  <c r="AO104" i="1"/>
  <c r="CU104" i="1" s="1"/>
  <c r="AK97" i="1"/>
  <c r="AK29" i="1"/>
  <c r="CK104" i="1"/>
  <c r="DC104" i="1" s="1"/>
  <c r="BS113" i="1"/>
  <c r="CZ113" i="1" s="1"/>
  <c r="J96" i="2"/>
  <c r="J101" i="2" s="1"/>
  <c r="X121" i="1"/>
  <c r="AC121" i="1" s="1"/>
  <c r="CS121" i="1" s="1"/>
  <c r="CE121" i="1"/>
  <c r="DB121" i="1" s="1"/>
  <c r="BY113" i="1"/>
  <c r="DA113" i="1" s="1"/>
  <c r="W231" i="1"/>
  <c r="CQ231" i="1" s="1"/>
  <c r="AI244" i="1"/>
  <c r="CT244" i="1" s="1"/>
  <c r="AY241" i="1"/>
  <c r="CO241" i="1" s="1"/>
  <c r="CO239" i="1"/>
  <c r="X225" i="1"/>
  <c r="X244" i="1" s="1"/>
  <c r="AC244" i="1" s="1"/>
  <c r="CS244" i="1" s="1"/>
  <c r="X105" i="1"/>
  <c r="X124" i="1" s="1"/>
  <c r="AC124" i="1" s="1"/>
  <c r="CS124" i="1" s="1"/>
  <c r="BL249" i="1"/>
  <c r="J56" i="2"/>
  <c r="H92" i="2"/>
  <c r="K92" i="2"/>
  <c r="J55" i="2"/>
  <c r="K54" i="2"/>
  <c r="K58" i="2" s="1"/>
  <c r="DF20" i="1"/>
  <c r="DD20" i="1"/>
  <c r="DE20" i="1"/>
  <c r="CP240" i="1"/>
  <c r="AI246" i="1"/>
  <c r="CT246" i="1" s="1"/>
  <c r="BA150" i="1"/>
  <c r="CW150" i="1" s="1"/>
  <c r="CO149" i="1"/>
  <c r="V70" i="2"/>
  <c r="W70" i="2" s="1"/>
  <c r="V39" i="2"/>
  <c r="W39" i="2" s="1"/>
  <c r="V22" i="2"/>
  <c r="W22" i="2" s="1"/>
  <c r="V46" i="2"/>
  <c r="W46" i="2" s="1"/>
  <c r="V23" i="2"/>
  <c r="W23" i="2" s="1"/>
  <c r="V87" i="2"/>
  <c r="W87" i="2" s="1"/>
  <c r="V45" i="2"/>
  <c r="W45" i="2" s="1"/>
  <c r="V76" i="2"/>
  <c r="W76" i="2" s="1"/>
  <c r="L58" i="2"/>
  <c r="BG247" i="1"/>
  <c r="CX247" i="1" s="1"/>
  <c r="BA113" i="1"/>
  <c r="CW113" i="1" s="1"/>
  <c r="CO231" i="1"/>
  <c r="L43" i="2"/>
  <c r="CD249" i="1"/>
  <c r="N58" i="2"/>
  <c r="BV249" i="1"/>
  <c r="AU113" i="1"/>
  <c r="CV113" i="1" s="1"/>
  <c r="CJ249" i="1"/>
  <c r="CB249" i="1"/>
  <c r="R101" i="2"/>
  <c r="K85" i="2"/>
  <c r="U150" i="1"/>
  <c r="S58" i="2"/>
  <c r="AO248" i="1"/>
  <c r="CU248" i="1" s="1"/>
  <c r="AY247" i="1"/>
  <c r="BA247" i="1" s="1"/>
  <c r="CW247" i="1" s="1"/>
  <c r="P58" i="2"/>
  <c r="T58" i="2"/>
  <c r="K43" i="2"/>
  <c r="O57" i="2"/>
  <c r="O58" i="2" s="1"/>
  <c r="Q101" i="2"/>
  <c r="Q57" i="2"/>
  <c r="Q58" i="2" s="1"/>
  <c r="S101" i="2"/>
  <c r="M57" i="2"/>
  <c r="M58" i="2" s="1"/>
  <c r="BJ249" i="1"/>
  <c r="X30" i="1"/>
  <c r="CH249" i="1"/>
  <c r="BS246" i="1"/>
  <c r="CZ246" i="1" s="1"/>
  <c r="U30" i="2"/>
  <c r="BA233" i="1"/>
  <c r="CW233" i="1" s="1"/>
  <c r="AC248" i="1"/>
  <c r="CS248" i="1" s="1"/>
  <c r="Q248" i="1"/>
  <c r="U81" i="2"/>
  <c r="CN113" i="1"/>
  <c r="W240" i="1"/>
  <c r="CR240" i="1" s="1"/>
  <c r="I100" i="2" s="1"/>
  <c r="AH249" i="1"/>
  <c r="DK59" i="1"/>
  <c r="DL59" i="1" s="1"/>
  <c r="DM59" i="1" s="1"/>
  <c r="DN59" i="1" s="1"/>
  <c r="DO59" i="1" s="1"/>
  <c r="DP59" i="1" s="1"/>
  <c r="DQ59" i="1" s="1"/>
  <c r="DR59" i="1" s="1"/>
  <c r="DS59" i="1" s="1"/>
  <c r="DT59" i="1" s="1"/>
  <c r="CK247" i="1"/>
  <c r="DC247" i="1" s="1"/>
  <c r="BA248" i="1"/>
  <c r="CW248" i="1" s="1"/>
  <c r="CY149" i="1"/>
  <c r="V114" i="2"/>
  <c r="W114" i="2" s="1"/>
  <c r="AU233" i="1"/>
  <c r="CV233" i="1" s="1"/>
  <c r="U47" i="2"/>
  <c r="V47" i="2" s="1"/>
  <c r="BG246" i="1"/>
  <c r="CX246" i="1" s="1"/>
  <c r="CK233" i="1"/>
  <c r="DC233" i="1" s="1"/>
  <c r="BG113" i="1"/>
  <c r="CX113" i="1" s="1"/>
  <c r="BS233" i="1"/>
  <c r="CZ233" i="1" s="1"/>
  <c r="AI247" i="1"/>
  <c r="CT247" i="1" s="1"/>
  <c r="I83" i="2"/>
  <c r="AU246" i="1"/>
  <c r="CV246" i="1" s="1"/>
  <c r="CQ239" i="1"/>
  <c r="V14" i="2"/>
  <c r="W14" i="2" s="1"/>
  <c r="BF249" i="1"/>
  <c r="W21" i="2"/>
  <c r="W89" i="2"/>
  <c r="W88" i="2"/>
  <c r="AO113" i="1"/>
  <c r="CU113" i="1" s="1"/>
  <c r="AO246" i="1"/>
  <c r="CU246" i="1" s="1"/>
  <c r="W35" i="2"/>
  <c r="W24" i="2"/>
  <c r="I36" i="2"/>
  <c r="CU218" i="1"/>
  <c r="L107" i="2" s="1"/>
  <c r="CS218" i="1"/>
  <c r="DB218" i="1"/>
  <c r="DA218" i="1"/>
  <c r="CY218" i="1"/>
  <c r="U33" i="2"/>
  <c r="V33" i="2" s="1"/>
  <c r="DC218" i="1"/>
  <c r="CV218" i="1"/>
  <c r="M107" i="2" s="1"/>
  <c r="CZ218" i="1"/>
  <c r="U74" i="2"/>
  <c r="DI112" i="1"/>
  <c r="DJ112" i="1" s="1"/>
  <c r="DK112" i="1" s="1"/>
  <c r="DL112" i="1" s="1"/>
  <c r="DM112" i="1" s="1"/>
  <c r="DN112" i="1" s="1"/>
  <c r="DO112" i="1" s="1"/>
  <c r="DP112" i="1" s="1"/>
  <c r="DQ112" i="1" s="1"/>
  <c r="DR112" i="1" s="1"/>
  <c r="DS112" i="1" s="1"/>
  <c r="DT112" i="1" s="1"/>
  <c r="U34" i="2"/>
  <c r="V34" i="2" s="1"/>
  <c r="AO247" i="1"/>
  <c r="CU247" i="1" s="1"/>
  <c r="AM249" i="1"/>
  <c r="CT218" i="1"/>
  <c r="K107" i="2" s="1"/>
  <c r="BA246" i="1"/>
  <c r="CW246" i="1" s="1"/>
  <c r="AX249" i="1"/>
  <c r="AA249" i="1"/>
  <c r="AC247" i="1"/>
  <c r="CS247" i="1" s="1"/>
  <c r="Z249" i="1"/>
  <c r="AC246" i="1"/>
  <c r="CS246" i="1" s="1"/>
  <c r="AU248" i="1"/>
  <c r="CV248" i="1" s="1"/>
  <c r="AT249" i="1"/>
  <c r="CC249" i="1"/>
  <c r="CE247" i="1"/>
  <c r="DB247" i="1" s="1"/>
  <c r="CX218" i="1"/>
  <c r="BY247" i="1"/>
  <c r="DA247" i="1" s="1"/>
  <c r="BW249" i="1"/>
  <c r="CM218" i="1"/>
  <c r="BS247" i="1"/>
  <c r="CZ247" i="1" s="1"/>
  <c r="BQ249" i="1"/>
  <c r="AO245" i="1"/>
  <c r="CU245" i="1" s="1"/>
  <c r="AK249" i="1"/>
  <c r="BX249" i="1"/>
  <c r="BY248" i="1"/>
  <c r="DA248" i="1" s="1"/>
  <c r="AI245" i="1"/>
  <c r="CT245" i="1" s="1"/>
  <c r="AE249" i="1"/>
  <c r="CQ112" i="1"/>
  <c r="H85" i="2"/>
  <c r="H43" i="2"/>
  <c r="CM121" i="1"/>
  <c r="BM113" i="1"/>
  <c r="CY113" i="1" s="1"/>
  <c r="H57" i="2"/>
  <c r="AI113" i="1"/>
  <c r="CT113" i="1" s="1"/>
  <c r="K101" i="2" s="1"/>
  <c r="H101" i="2"/>
  <c r="Q105" i="1"/>
  <c r="H109" i="2"/>
  <c r="V109" i="2" s="1"/>
  <c r="DJ120" i="1"/>
  <c r="DK120" i="1" s="1"/>
  <c r="DL120" i="1" s="1"/>
  <c r="DM120" i="1" s="1"/>
  <c r="DN120" i="1" s="1"/>
  <c r="DO120" i="1" s="1"/>
  <c r="DP120" i="1" s="1"/>
  <c r="DQ120" i="1" s="1"/>
  <c r="DR120" i="1" s="1"/>
  <c r="DS120" i="1" s="1"/>
  <c r="DT120" i="1" s="1"/>
  <c r="CE241" i="1"/>
  <c r="DB241" i="1" s="1"/>
  <c r="CK113" i="1"/>
  <c r="DC113" i="1" s="1"/>
  <c r="T101" i="2" s="1"/>
  <c r="BM233" i="1"/>
  <c r="CY233" i="1" s="1"/>
  <c r="CP241" i="1"/>
  <c r="CQ119" i="1"/>
  <c r="AO233" i="1"/>
  <c r="CU233" i="1" s="1"/>
  <c r="BY121" i="1"/>
  <c r="DA121" i="1" s="1"/>
  <c r="V150" i="1"/>
  <c r="CP150" i="1" s="1"/>
  <c r="CP149" i="1"/>
  <c r="U247" i="1"/>
  <c r="CO225" i="1"/>
  <c r="CR109" i="1"/>
  <c r="CU149" i="1"/>
  <c r="AO150" i="1"/>
  <c r="CU150" i="1" s="1"/>
  <c r="AI225" i="1"/>
  <c r="CT225" i="1" s="1"/>
  <c r="DN119" i="1"/>
  <c r="DO119" i="1" s="1"/>
  <c r="DP119" i="1" s="1"/>
  <c r="DQ119" i="1" s="1"/>
  <c r="DR119" i="1" s="1"/>
  <c r="DS119" i="1" s="1"/>
  <c r="DT119" i="1" s="1"/>
  <c r="CQ110" i="1"/>
  <c r="CR110" i="1"/>
  <c r="CE233" i="1"/>
  <c r="DB233" i="1" s="1"/>
  <c r="AI233" i="1"/>
  <c r="CT233" i="1" s="1"/>
  <c r="CN233" i="1"/>
  <c r="DG21" i="1"/>
  <c r="CL241" i="1"/>
  <c r="CP121" i="1"/>
  <c r="CT149" i="1"/>
  <c r="AI150" i="1"/>
  <c r="CT150" i="1" s="1"/>
  <c r="CR229" i="1"/>
  <c r="P129" i="1"/>
  <c r="Q129" i="1" s="1"/>
  <c r="Q128" i="1"/>
  <c r="CQ117" i="1"/>
  <c r="CV149" i="1"/>
  <c r="AU150" i="1"/>
  <c r="CV150" i="1" s="1"/>
  <c r="S129" i="1"/>
  <c r="W125" i="1"/>
  <c r="BN249" i="1"/>
  <c r="BS244" i="1"/>
  <c r="CZ244" i="1" s="1"/>
  <c r="CX149" i="1"/>
  <c r="BG150" i="1"/>
  <c r="CX150" i="1" s="1"/>
  <c r="CR111" i="1"/>
  <c r="CQ111" i="1"/>
  <c r="CQ236" i="1"/>
  <c r="CR236" i="1"/>
  <c r="I96" i="2" s="1"/>
  <c r="CQ120" i="1"/>
  <c r="W238" i="1"/>
  <c r="CN238" i="1"/>
  <c r="T241" i="1"/>
  <c r="CN241" i="1" s="1"/>
  <c r="CN97" i="1"/>
  <c r="T105" i="1"/>
  <c r="W232" i="1"/>
  <c r="V233" i="1"/>
  <c r="CP233" i="1" s="1"/>
  <c r="CP232" i="1"/>
  <c r="CN29" i="1"/>
  <c r="T30" i="1"/>
  <c r="CN30" i="1" s="1"/>
  <c r="CO121" i="1"/>
  <c r="CR116" i="1"/>
  <c r="U127" i="1"/>
  <c r="CO113" i="1"/>
  <c r="CO233" i="1"/>
  <c r="BY244" i="1"/>
  <c r="DA244" i="1" s="1"/>
  <c r="BT249" i="1"/>
  <c r="T225" i="1"/>
  <c r="CW149" i="1"/>
  <c r="CP128" i="1"/>
  <c r="W128" i="1"/>
  <c r="V129" i="1"/>
  <c r="CP129" i="1" s="1"/>
  <c r="T150" i="1"/>
  <c r="CN150" i="1" s="1"/>
  <c r="CN149" i="1"/>
  <c r="V225" i="1"/>
  <c r="CP218" i="1" s="1"/>
  <c r="BG233" i="1"/>
  <c r="CX233" i="1" s="1"/>
  <c r="DK94" i="1"/>
  <c r="W118" i="1"/>
  <c r="CN118" i="1"/>
  <c r="T121" i="1"/>
  <c r="CN121" i="1" s="1"/>
  <c r="DB149" i="1"/>
  <c r="CE150" i="1"/>
  <c r="DB150" i="1" s="1"/>
  <c r="CZ149" i="1"/>
  <c r="BS150" i="1"/>
  <c r="CZ150" i="1" s="1"/>
  <c r="CQ237" i="1"/>
  <c r="CR237" i="1"/>
  <c r="I97" i="2" s="1"/>
  <c r="CK244" i="1"/>
  <c r="DC244" i="1" s="1"/>
  <c r="CF249" i="1"/>
  <c r="CE244" i="1"/>
  <c r="DB244" i="1" s="1"/>
  <c r="BZ249" i="1"/>
  <c r="DA149" i="1"/>
  <c r="BY150" i="1"/>
  <c r="DA150" i="1" s="1"/>
  <c r="DC149" i="1"/>
  <c r="CK150" i="1"/>
  <c r="DC150" i="1" s="1"/>
  <c r="CQ230" i="1"/>
  <c r="CQ214" i="1"/>
  <c r="CR231" i="1" l="1"/>
  <c r="I56" i="2" s="1"/>
  <c r="W245" i="1"/>
  <c r="BA241" i="1"/>
  <c r="CW241" i="1" s="1"/>
  <c r="S150" i="1"/>
  <c r="BT129" i="1"/>
  <c r="CO150" i="1"/>
  <c r="CK124" i="1"/>
  <c r="DC124" i="1" s="1"/>
  <c r="AM129" i="1"/>
  <c r="AO127" i="1"/>
  <c r="CU127" i="1" s="1"/>
  <c r="BN30" i="1"/>
  <c r="AI127" i="1"/>
  <c r="CT127" i="1" s="1"/>
  <c r="AG129" i="1"/>
  <c r="BN105" i="1"/>
  <c r="BN124" i="1" s="1"/>
  <c r="AG30" i="1"/>
  <c r="CO30" i="1" s="1"/>
  <c r="CO29" i="1"/>
  <c r="CO97" i="1"/>
  <c r="CO105" i="1"/>
  <c r="AI124" i="1"/>
  <c r="CT124" i="1" s="1"/>
  <c r="AD129" i="1"/>
  <c r="AK30" i="1"/>
  <c r="CE104" i="1"/>
  <c r="DB104" i="1" s="1"/>
  <c r="AE30" i="1"/>
  <c r="AI29" i="1"/>
  <c r="AK105" i="1"/>
  <c r="AK125" i="1" s="1"/>
  <c r="AE105" i="1"/>
  <c r="AE125" i="1" s="1"/>
  <c r="AI97" i="1"/>
  <c r="X129" i="1"/>
  <c r="X249" i="1"/>
  <c r="CO218" i="1"/>
  <c r="U99" i="2"/>
  <c r="I54" i="2"/>
  <c r="J107" i="2"/>
  <c r="DF21" i="1"/>
  <c r="DE21" i="1"/>
  <c r="DD21" i="1"/>
  <c r="AI249" i="1"/>
  <c r="CT249" i="1" s="1"/>
  <c r="CW218" i="1"/>
  <c r="V74" i="2"/>
  <c r="V81" i="2"/>
  <c r="W81" i="2" s="1"/>
  <c r="V30" i="2"/>
  <c r="W30" i="2" s="1"/>
  <c r="AY249" i="1"/>
  <c r="W47" i="2"/>
  <c r="W90" i="2"/>
  <c r="CQ240" i="1"/>
  <c r="CL218" i="1"/>
  <c r="W33" i="2"/>
  <c r="W34" i="2"/>
  <c r="DI111" i="1"/>
  <c r="DJ111" i="1" s="1"/>
  <c r="DK111" i="1" s="1"/>
  <c r="DL111" i="1" s="1"/>
  <c r="DM111" i="1" s="1"/>
  <c r="DN111" i="1" s="1"/>
  <c r="DO111" i="1" s="1"/>
  <c r="DP111" i="1" s="1"/>
  <c r="DQ111" i="1" s="1"/>
  <c r="DR111" i="1" s="1"/>
  <c r="DS111" i="1" s="1"/>
  <c r="DT111" i="1" s="1"/>
  <c r="U56" i="2"/>
  <c r="V56" i="2" s="1"/>
  <c r="DI116" i="1"/>
  <c r="DJ116" i="1" s="1"/>
  <c r="DK116" i="1" s="1"/>
  <c r="U100" i="2"/>
  <c r="U36" i="2"/>
  <c r="V36" i="2" s="1"/>
  <c r="U79" i="2"/>
  <c r="DI110" i="1"/>
  <c r="DJ110" i="1" s="1"/>
  <c r="DK110" i="1" s="1"/>
  <c r="DL110" i="1" s="1"/>
  <c r="DM110" i="1" s="1"/>
  <c r="DN110" i="1" s="1"/>
  <c r="DO110" i="1" s="1"/>
  <c r="DP110" i="1" s="1"/>
  <c r="DQ110" i="1" s="1"/>
  <c r="DR110" i="1" s="1"/>
  <c r="DS110" i="1" s="1"/>
  <c r="DT110" i="1" s="1"/>
  <c r="U55" i="2"/>
  <c r="V55" i="2" s="1"/>
  <c r="DI109" i="1"/>
  <c r="W218" i="1"/>
  <c r="CN218" i="1"/>
  <c r="H58" i="2"/>
  <c r="DG22" i="1"/>
  <c r="H111" i="2"/>
  <c r="W109" i="2"/>
  <c r="W121" i="1"/>
  <c r="CR121" i="1" s="1"/>
  <c r="DI121" i="1" s="1"/>
  <c r="DJ121" i="1" s="1"/>
  <c r="DK121" i="1" s="1"/>
  <c r="CQ118" i="1"/>
  <c r="CR118" i="1"/>
  <c r="DI118" i="1" s="1"/>
  <c r="DJ118" i="1" s="1"/>
  <c r="DK118" i="1" s="1"/>
  <c r="DL118" i="1" s="1"/>
  <c r="DM118" i="1" s="1"/>
  <c r="DN118" i="1" s="1"/>
  <c r="DO118" i="1" s="1"/>
  <c r="DP118" i="1" s="1"/>
  <c r="DQ118" i="1" s="1"/>
  <c r="DR118" i="1" s="1"/>
  <c r="DS118" i="1" s="1"/>
  <c r="DT118" i="1" s="1"/>
  <c r="V248" i="1"/>
  <c r="CP225" i="1"/>
  <c r="CR232" i="1"/>
  <c r="I57" i="2" s="1"/>
  <c r="CQ232" i="1"/>
  <c r="T126" i="1"/>
  <c r="CN105" i="1"/>
  <c r="CQ238" i="1"/>
  <c r="CR238" i="1"/>
  <c r="I98" i="2" s="1"/>
  <c r="CR245" i="1"/>
  <c r="W241" i="1"/>
  <c r="CQ128" i="1"/>
  <c r="CR128" i="1"/>
  <c r="DI128" i="1" s="1"/>
  <c r="DJ128" i="1" s="1"/>
  <c r="DK128" i="1" s="1"/>
  <c r="DL128" i="1" s="1"/>
  <c r="DM128" i="1" s="1"/>
  <c r="DN128" i="1" s="1"/>
  <c r="DO128" i="1" s="1"/>
  <c r="DP128" i="1" s="1"/>
  <c r="DQ128" i="1" s="1"/>
  <c r="DR128" i="1" s="1"/>
  <c r="DS128" i="1" s="1"/>
  <c r="DT128" i="1" s="1"/>
  <c r="CN225" i="1"/>
  <c r="T246" i="1"/>
  <c r="CO127" i="1"/>
  <c r="U129" i="1"/>
  <c r="W127" i="1"/>
  <c r="CR125" i="1"/>
  <c r="DI125" i="1" s="1"/>
  <c r="U249" i="1"/>
  <c r="CO247" i="1"/>
  <c r="W247" i="1"/>
  <c r="V100" i="2" l="1"/>
  <c r="W100" i="2" s="1"/>
  <c r="CO129" i="1"/>
  <c r="BS124" i="1"/>
  <c r="CZ124" i="1" s="1"/>
  <c r="BN129" i="1"/>
  <c r="CT97" i="1"/>
  <c r="K106" i="2" s="1"/>
  <c r="K111" i="2" s="1"/>
  <c r="AI105" i="1"/>
  <c r="CT105" i="1" s="1"/>
  <c r="AI125" i="1"/>
  <c r="CT125" i="1" s="1"/>
  <c r="AE129" i="1"/>
  <c r="AI129" i="1" s="1"/>
  <c r="CT129" i="1" s="1"/>
  <c r="AK129" i="1"/>
  <c r="AO125" i="1"/>
  <c r="CU125" i="1" s="1"/>
  <c r="AI30" i="1"/>
  <c r="CT30" i="1" s="1"/>
  <c r="CT29" i="1"/>
  <c r="K115" i="2" s="1"/>
  <c r="K116" i="2" s="1"/>
  <c r="CO249" i="1"/>
  <c r="V99" i="2"/>
  <c r="W99" i="2" s="1"/>
  <c r="DF22" i="1"/>
  <c r="DD22" i="1"/>
  <c r="DE22" i="1"/>
  <c r="V79" i="2"/>
  <c r="U98" i="2"/>
  <c r="U57" i="2"/>
  <c r="W55" i="2"/>
  <c r="W56" i="2"/>
  <c r="I101" i="2"/>
  <c r="W36" i="2"/>
  <c r="W74" i="2"/>
  <c r="CQ218" i="1"/>
  <c r="CR218" i="1"/>
  <c r="DG23" i="1"/>
  <c r="CQ127" i="1"/>
  <c r="CR127" i="1"/>
  <c r="DI127" i="1" s="1"/>
  <c r="DJ127" i="1" s="1"/>
  <c r="DK127" i="1" s="1"/>
  <c r="DL127" i="1" s="1"/>
  <c r="DM127" i="1" s="1"/>
  <c r="DN127" i="1" s="1"/>
  <c r="DO127" i="1" s="1"/>
  <c r="DP127" i="1" s="1"/>
  <c r="DQ127" i="1" s="1"/>
  <c r="DR127" i="1" s="1"/>
  <c r="DS127" i="1" s="1"/>
  <c r="DT127" i="1" s="1"/>
  <c r="CR247" i="1"/>
  <c r="CQ247" i="1"/>
  <c r="T249" i="1"/>
  <c r="CN249" i="1" s="1"/>
  <c r="CN246" i="1"/>
  <c r="W246" i="1"/>
  <c r="W248" i="1"/>
  <c r="CP248" i="1"/>
  <c r="V249" i="1"/>
  <c r="CP249" i="1" s="1"/>
  <c r="CR241" i="1"/>
  <c r="CQ241" i="1"/>
  <c r="CN126" i="1"/>
  <c r="W126" i="1"/>
  <c r="T129" i="1"/>
  <c r="I107" i="2" l="1"/>
  <c r="U107" i="2" s="1"/>
  <c r="V107" i="2" s="1"/>
  <c r="DF23" i="1"/>
  <c r="DD23" i="1"/>
  <c r="DE23" i="1"/>
  <c r="V57" i="2"/>
  <c r="W57" i="2" s="1"/>
  <c r="V98" i="2"/>
  <c r="W98" i="2" s="1"/>
  <c r="W79" i="2"/>
  <c r="U97" i="2"/>
  <c r="DG24" i="1"/>
  <c r="CN129" i="1"/>
  <c r="CR246" i="1"/>
  <c r="CQ246" i="1"/>
  <c r="CR126" i="1"/>
  <c r="DI126" i="1" s="1"/>
  <c r="DJ126" i="1" s="1"/>
  <c r="DK126" i="1" s="1"/>
  <c r="DL126" i="1" s="1"/>
  <c r="DM126" i="1" s="1"/>
  <c r="DN126" i="1" s="1"/>
  <c r="DO126" i="1" s="1"/>
  <c r="DP126" i="1" s="1"/>
  <c r="DQ126" i="1" s="1"/>
  <c r="DR126" i="1" s="1"/>
  <c r="DS126" i="1" s="1"/>
  <c r="DT126" i="1" s="1"/>
  <c r="CQ126" i="1"/>
  <c r="CQ248" i="1"/>
  <c r="CR248" i="1"/>
  <c r="DF24" i="1" l="1"/>
  <c r="DE24" i="1"/>
  <c r="DD24" i="1"/>
  <c r="V97" i="2"/>
  <c r="W97" i="2" s="1"/>
  <c r="W107" i="2"/>
  <c r="DG25" i="1"/>
  <c r="DF25" i="1" l="1"/>
  <c r="DE25" i="1"/>
  <c r="DD25" i="1"/>
  <c r="DG26" i="1"/>
  <c r="DF26" i="1" l="1"/>
  <c r="DE26" i="1"/>
  <c r="DD26" i="1"/>
  <c r="DG27" i="1"/>
  <c r="DF27" i="1" l="1"/>
  <c r="DE27" i="1"/>
  <c r="DD27" i="1"/>
  <c r="DG28" i="1"/>
  <c r="DG29" i="1" l="1"/>
  <c r="DG30" i="1" l="1"/>
  <c r="DF30" i="1" l="1"/>
  <c r="DE30" i="1"/>
  <c r="DD30" i="1"/>
  <c r="DG31" i="1"/>
  <c r="DF31" i="1" l="1"/>
  <c r="DE31" i="1"/>
  <c r="DD31" i="1"/>
  <c r="DG32" i="1"/>
  <c r="DG33" i="1" l="1"/>
  <c r="DF33" i="1" l="1"/>
  <c r="DE33" i="1"/>
  <c r="DD33" i="1"/>
  <c r="DG34" i="1"/>
  <c r="DF34" i="1" l="1"/>
  <c r="DD34" i="1"/>
  <c r="DE34" i="1"/>
  <c r="DG35" i="1"/>
  <c r="DF35" i="1" l="1"/>
  <c r="DE35" i="1"/>
  <c r="DD35" i="1"/>
  <c r="DG36" i="1"/>
  <c r="DF36" i="1" l="1"/>
  <c r="DD36" i="1"/>
  <c r="DE36" i="1"/>
  <c r="DG37" i="1"/>
  <c r="DF37" i="1" l="1"/>
  <c r="DE37" i="1"/>
  <c r="DD37" i="1"/>
  <c r="DG38" i="1"/>
  <c r="DF38" i="1" l="1"/>
  <c r="DE38" i="1"/>
  <c r="DD38" i="1"/>
  <c r="DG39" i="1"/>
  <c r="DF39" i="1" l="1"/>
  <c r="DE39" i="1"/>
  <c r="DD39" i="1"/>
  <c r="DG40" i="1"/>
  <c r="DF40" i="1" l="1"/>
  <c r="DD40" i="1"/>
  <c r="DE40" i="1"/>
  <c r="DG41" i="1"/>
  <c r="DF41" i="1" l="1"/>
  <c r="DD41" i="1"/>
  <c r="DE41" i="1"/>
  <c r="DG42" i="1"/>
  <c r="DF42" i="1" l="1"/>
  <c r="DE42" i="1"/>
  <c r="DD42" i="1"/>
  <c r="DG43" i="1"/>
  <c r="DF43" i="1" l="1"/>
  <c r="DD43" i="1"/>
  <c r="DE43" i="1"/>
  <c r="DG44" i="1"/>
  <c r="DF44" i="1" l="1"/>
  <c r="DE44" i="1"/>
  <c r="DD44" i="1"/>
  <c r="DG45" i="1"/>
  <c r="DF45" i="1" l="1"/>
  <c r="DD45" i="1"/>
  <c r="DE45" i="1"/>
  <c r="DG46" i="1"/>
  <c r="DF46" i="1" l="1"/>
  <c r="DE46" i="1"/>
  <c r="DD46" i="1"/>
  <c r="DG47" i="1"/>
  <c r="DF47" i="1" l="1"/>
  <c r="DD47" i="1"/>
  <c r="DE47" i="1"/>
  <c r="DG48" i="1"/>
  <c r="DF48" i="1" l="1"/>
  <c r="DE48" i="1"/>
  <c r="DD48" i="1"/>
  <c r="DG49" i="1"/>
  <c r="DF49" i="1" l="1"/>
  <c r="DE49" i="1"/>
  <c r="DD49" i="1"/>
  <c r="DG50" i="1"/>
  <c r="DF50" i="1" l="1"/>
  <c r="DD50" i="1"/>
  <c r="DE50" i="1"/>
  <c r="DG51" i="1"/>
  <c r="DF51" i="1" l="1"/>
  <c r="DD51" i="1"/>
  <c r="DE51" i="1"/>
  <c r="DG52" i="1"/>
  <c r="DF52" i="1" l="1"/>
  <c r="DE52" i="1"/>
  <c r="DD52" i="1"/>
  <c r="DG53" i="1"/>
  <c r="DF53" i="1" l="1"/>
  <c r="DE53" i="1"/>
  <c r="DD53" i="1"/>
  <c r="DG54" i="1"/>
  <c r="DF54" i="1" l="1"/>
  <c r="DD54" i="1"/>
  <c r="DE54" i="1"/>
  <c r="DG55" i="1"/>
  <c r="DF55" i="1" l="1"/>
  <c r="DD55" i="1"/>
  <c r="DE55" i="1"/>
  <c r="DG56" i="1"/>
  <c r="DF56" i="1" l="1"/>
  <c r="DE56" i="1"/>
  <c r="DD56" i="1"/>
  <c r="DG57" i="1"/>
  <c r="DF57" i="1" l="1"/>
  <c r="DE57" i="1"/>
  <c r="DD57" i="1"/>
  <c r="DG58" i="1"/>
  <c r="DF58" i="1" l="1"/>
  <c r="DD58" i="1"/>
  <c r="DE58" i="1"/>
  <c r="DG59" i="1"/>
  <c r="DF59" i="1" l="1"/>
  <c r="DE59" i="1"/>
  <c r="DD59" i="1"/>
  <c r="DG60" i="1"/>
  <c r="DF60" i="1" l="1"/>
  <c r="DE60" i="1"/>
  <c r="DD60" i="1"/>
  <c r="DG61" i="1"/>
  <c r="DF61" i="1" l="1"/>
  <c r="DE61" i="1"/>
  <c r="DD61" i="1"/>
  <c r="DG62" i="1"/>
  <c r="DF62" i="1" l="1"/>
  <c r="DE62" i="1"/>
  <c r="DD62" i="1"/>
  <c r="DG63" i="1"/>
  <c r="DG64" i="1" l="1"/>
  <c r="DF64" i="1" l="1"/>
  <c r="DD64" i="1"/>
  <c r="DE64" i="1"/>
  <c r="DG65" i="1"/>
  <c r="DF65" i="1" l="1"/>
  <c r="DE65" i="1"/>
  <c r="DD65" i="1"/>
  <c r="DG66" i="1"/>
  <c r="DD66" i="1" l="1"/>
  <c r="DG67" i="1"/>
  <c r="DF67" i="1" l="1"/>
  <c r="DD67" i="1"/>
  <c r="DE67" i="1"/>
  <c r="DG68" i="1"/>
  <c r="DF68" i="1" l="1"/>
  <c r="DE68" i="1"/>
  <c r="DD68" i="1"/>
  <c r="DG69" i="1"/>
  <c r="DD69" i="1" l="1"/>
  <c r="DG70" i="1"/>
  <c r="DF70" i="1" l="1"/>
  <c r="DE70" i="1"/>
  <c r="DD70" i="1"/>
  <c r="DG71" i="1"/>
  <c r="DF71" i="1" l="1"/>
  <c r="DE71" i="1"/>
  <c r="DD71" i="1"/>
  <c r="DG72" i="1"/>
  <c r="DF72" i="1" l="1"/>
  <c r="DD72" i="1"/>
  <c r="DE72" i="1"/>
  <c r="DG73" i="1"/>
  <c r="DF73" i="1" l="1"/>
  <c r="DD73" i="1"/>
  <c r="DE73" i="1"/>
  <c r="DG74" i="1"/>
  <c r="DF74" i="1" l="1"/>
  <c r="DE74" i="1"/>
  <c r="DD74" i="1"/>
  <c r="DG75" i="1"/>
  <c r="DF75" i="1" l="1"/>
  <c r="DE75" i="1"/>
  <c r="DD75" i="1"/>
  <c r="DG76" i="1"/>
  <c r="DF76" i="1" l="1"/>
  <c r="DE76" i="1"/>
  <c r="DD76" i="1"/>
  <c r="DG77" i="1"/>
  <c r="DF77" i="1" l="1"/>
  <c r="DD77" i="1"/>
  <c r="DE77" i="1"/>
  <c r="DG78" i="1"/>
  <c r="DF78" i="1" l="1"/>
  <c r="DE78" i="1"/>
  <c r="DD78" i="1"/>
  <c r="DG79" i="1"/>
  <c r="DF79" i="1" l="1"/>
  <c r="DD79" i="1"/>
  <c r="DE79" i="1"/>
  <c r="DG80" i="1"/>
  <c r="DF80" i="1" l="1"/>
  <c r="DE80" i="1"/>
  <c r="DD80" i="1"/>
  <c r="DG81" i="1"/>
  <c r="DF81" i="1" l="1"/>
  <c r="DE81" i="1"/>
  <c r="DD81" i="1"/>
  <c r="DG82" i="1"/>
  <c r="DF82" i="1" l="1"/>
  <c r="DD82" i="1"/>
  <c r="DE82" i="1"/>
  <c r="DG83" i="1"/>
  <c r="DF83" i="1" l="1"/>
  <c r="DD83" i="1"/>
  <c r="DE83" i="1"/>
  <c r="DG84" i="1"/>
  <c r="DF84" i="1" l="1"/>
  <c r="DD84" i="1"/>
  <c r="DE84" i="1"/>
  <c r="DG85" i="1"/>
  <c r="DF85" i="1" l="1"/>
  <c r="DE85" i="1"/>
  <c r="DD85" i="1"/>
  <c r="DG86" i="1"/>
  <c r="DF86" i="1" l="1"/>
  <c r="DD86" i="1"/>
  <c r="DE86" i="1"/>
  <c r="DG87" i="1"/>
  <c r="DF87" i="1" l="1"/>
  <c r="DD87" i="1"/>
  <c r="DE87" i="1"/>
  <c r="DG88" i="1"/>
  <c r="DF88" i="1" l="1"/>
  <c r="DE88" i="1"/>
  <c r="DD88" i="1"/>
  <c r="DG89" i="1"/>
  <c r="DF89" i="1" l="1"/>
  <c r="DE89" i="1"/>
  <c r="DD89" i="1"/>
  <c r="DG90" i="1"/>
  <c r="DF90" i="1" l="1"/>
  <c r="DD90" i="1"/>
  <c r="DE90" i="1"/>
  <c r="DG91" i="1"/>
  <c r="DF91" i="1" l="1"/>
  <c r="DD91" i="1"/>
  <c r="DE91" i="1"/>
  <c r="DG92" i="1"/>
  <c r="DF92" i="1" l="1"/>
  <c r="DE92" i="1"/>
  <c r="DD92" i="1"/>
  <c r="DG93" i="1"/>
  <c r="DD93" i="1" l="1"/>
  <c r="DG94" i="1"/>
  <c r="DF94" i="1" l="1"/>
  <c r="DE94" i="1"/>
  <c r="DD94" i="1"/>
  <c r="DG95" i="1"/>
  <c r="DF95" i="1" l="1"/>
  <c r="DE95" i="1"/>
  <c r="DD95" i="1"/>
  <c r="DG96" i="1"/>
  <c r="DG97" i="1" l="1"/>
  <c r="DE97" i="1" l="1"/>
  <c r="DD97" i="1"/>
  <c r="DG98" i="1"/>
  <c r="DG99" i="1" s="1"/>
  <c r="DF97" i="1"/>
  <c r="DD99" i="1" l="1"/>
  <c r="DE99" i="1"/>
  <c r="DD98" i="1"/>
  <c r="DE98" i="1"/>
  <c r="DG100" i="1"/>
  <c r="DF99" i="1"/>
  <c r="DE100" i="1" l="1"/>
  <c r="DD100" i="1"/>
  <c r="DG101" i="1"/>
  <c r="DF100" i="1"/>
  <c r="DD101" i="1" l="1"/>
  <c r="DE101" i="1"/>
  <c r="DG102" i="1"/>
  <c r="DF101" i="1"/>
  <c r="DE102" i="1" l="1"/>
  <c r="DD102" i="1"/>
  <c r="DG103" i="1"/>
  <c r="DF102" i="1"/>
  <c r="DG104" i="1" l="1"/>
  <c r="DG105" i="1" l="1"/>
  <c r="DD105" i="1" l="1"/>
  <c r="DE105" i="1"/>
  <c r="DG106" i="1"/>
  <c r="DF105" i="1"/>
  <c r="DD106" i="1" l="1"/>
  <c r="DE106" i="1"/>
  <c r="DG107" i="1"/>
  <c r="DF106" i="1"/>
  <c r="DG108" i="1" l="1"/>
  <c r="DG109" i="1" l="1"/>
  <c r="DE109" i="1" l="1"/>
  <c r="DD109" i="1"/>
  <c r="DG110" i="1"/>
  <c r="DF109" i="1"/>
  <c r="DD110" i="1" l="1"/>
  <c r="DE110" i="1"/>
  <c r="DG111" i="1"/>
  <c r="DF110" i="1"/>
  <c r="DE111" i="1" l="1"/>
  <c r="DD111" i="1"/>
  <c r="DG112" i="1"/>
  <c r="DF111" i="1"/>
  <c r="DG113" i="1" l="1"/>
  <c r="DE113" i="1" l="1"/>
  <c r="DD113" i="1"/>
  <c r="DG114" i="1"/>
  <c r="DF113" i="1"/>
  <c r="DE114" i="1" l="1"/>
  <c r="DD114" i="1"/>
  <c r="DG115" i="1"/>
  <c r="DF114" i="1"/>
  <c r="DD115" i="1" l="1"/>
  <c r="DG116" i="1"/>
  <c r="DD116" i="1" l="1"/>
  <c r="DE116" i="1"/>
  <c r="DG117" i="1"/>
  <c r="DF116" i="1"/>
  <c r="DE117" i="1" l="1"/>
  <c r="DD117" i="1"/>
  <c r="DG118" i="1"/>
  <c r="DF117" i="1"/>
  <c r="DE118" i="1" l="1"/>
  <c r="DD118" i="1"/>
  <c r="DG119" i="1"/>
  <c r="DF118" i="1"/>
  <c r="DD119" i="1" l="1"/>
  <c r="DE119" i="1"/>
  <c r="DG120" i="1"/>
  <c r="DF119" i="1"/>
  <c r="DF130" i="1"/>
  <c r="DD120" i="1" l="1"/>
  <c r="DG121" i="1"/>
  <c r="DF131" i="1"/>
  <c r="DE121" i="1" l="1"/>
  <c r="DD121" i="1"/>
  <c r="DG122" i="1"/>
  <c r="DF121" i="1"/>
  <c r="DE122" i="1" l="1"/>
  <c r="DD122" i="1"/>
  <c r="DG123" i="1"/>
  <c r="DF122" i="1"/>
  <c r="DG124" i="1" l="1"/>
  <c r="DG125" i="1" l="1"/>
  <c r="DE125" i="1" l="1"/>
  <c r="DD125" i="1"/>
  <c r="DG126" i="1"/>
  <c r="DF125" i="1"/>
  <c r="DE126" i="1" l="1"/>
  <c r="DD126" i="1"/>
  <c r="DG127" i="1"/>
  <c r="DF126" i="1"/>
  <c r="DE127" i="1" l="1"/>
  <c r="DD127" i="1"/>
  <c r="DG128" i="1"/>
  <c r="DF127" i="1"/>
  <c r="DG129" i="1" l="1"/>
  <c r="DD129" i="1" l="1"/>
  <c r="DE129" i="1"/>
  <c r="DG132" i="1"/>
  <c r="DF129" i="1"/>
  <c r="DE132" i="1" l="1"/>
  <c r="DD132" i="1"/>
  <c r="DG133" i="1"/>
  <c r="DF132" i="1"/>
  <c r="DE133" i="1" l="1"/>
  <c r="DD133" i="1"/>
  <c r="DG134" i="1"/>
  <c r="DF133" i="1"/>
  <c r="DD134" i="1" l="1"/>
  <c r="DE134" i="1"/>
  <c r="DG135" i="1"/>
  <c r="DF134" i="1"/>
  <c r="DD135" i="1" l="1"/>
  <c r="DE135" i="1"/>
  <c r="DG136" i="1"/>
  <c r="DF135" i="1"/>
  <c r="DE136" i="1" l="1"/>
  <c r="DD136" i="1"/>
  <c r="DG137" i="1"/>
  <c r="DF136" i="1"/>
  <c r="DD137" i="1" l="1"/>
  <c r="DE137" i="1"/>
  <c r="DG138" i="1"/>
  <c r="DF137" i="1"/>
  <c r="DE138" i="1" l="1"/>
  <c r="DD138" i="1"/>
  <c r="DG139" i="1"/>
  <c r="DF138" i="1"/>
  <c r="DD139" i="1" l="1"/>
  <c r="DE139" i="1"/>
  <c r="DG140" i="1"/>
  <c r="DF139" i="1"/>
  <c r="DD140" i="1" l="1"/>
  <c r="DE140" i="1"/>
  <c r="DG141" i="1"/>
  <c r="DF140" i="1"/>
  <c r="DE141" i="1" l="1"/>
  <c r="DD141" i="1"/>
  <c r="DG142" i="1"/>
  <c r="DF141" i="1"/>
  <c r="DE142" i="1" l="1"/>
  <c r="DD142" i="1"/>
  <c r="DG143" i="1"/>
  <c r="DF142" i="1"/>
  <c r="DE143" i="1" l="1"/>
  <c r="DD143" i="1"/>
  <c r="DG144" i="1"/>
  <c r="DF143" i="1"/>
  <c r="DE144" i="1" l="1"/>
  <c r="DD144" i="1"/>
  <c r="DG145" i="1"/>
  <c r="DF144" i="1"/>
  <c r="DE145" i="1" l="1"/>
  <c r="DD145" i="1"/>
  <c r="DG146" i="1"/>
  <c r="DF145" i="1"/>
  <c r="DD146" i="1" l="1"/>
  <c r="DE146" i="1"/>
  <c r="DG147" i="1"/>
  <c r="DF146" i="1"/>
  <c r="DE147" i="1" l="1"/>
  <c r="DD147" i="1"/>
  <c r="DG148" i="1"/>
  <c r="DF147" i="1"/>
  <c r="DG149" i="1" l="1"/>
  <c r="DG150" i="1" l="1"/>
  <c r="DE150" i="1" l="1"/>
  <c r="DD150" i="1"/>
  <c r="DG151" i="1"/>
  <c r="DF150" i="1"/>
  <c r="DD151" i="1" l="1"/>
  <c r="DE151" i="1"/>
  <c r="DG152" i="1"/>
  <c r="DF151" i="1"/>
  <c r="DG153" i="1" l="1"/>
  <c r="DE153" i="1" l="1"/>
  <c r="DD153" i="1"/>
  <c r="DG154" i="1"/>
  <c r="DF153" i="1"/>
  <c r="DE154" i="1" l="1"/>
  <c r="DD154" i="1"/>
  <c r="DG155" i="1"/>
  <c r="DF154" i="1"/>
  <c r="DD155" i="1" l="1"/>
  <c r="DE155" i="1"/>
  <c r="DG156" i="1"/>
  <c r="DF155" i="1"/>
  <c r="DD156" i="1" l="1"/>
  <c r="DE156" i="1"/>
  <c r="DG157" i="1"/>
  <c r="DF156" i="1"/>
  <c r="DE157" i="1" l="1"/>
  <c r="DD157" i="1"/>
  <c r="DG158" i="1"/>
  <c r="DF157" i="1"/>
  <c r="DE158" i="1" l="1"/>
  <c r="DD158" i="1"/>
  <c r="DG159" i="1"/>
  <c r="DF158" i="1"/>
  <c r="DE159" i="1" l="1"/>
  <c r="DD159" i="1"/>
  <c r="DG160" i="1"/>
  <c r="DF159" i="1"/>
  <c r="DE160" i="1" l="1"/>
  <c r="DD160" i="1"/>
  <c r="DG161" i="1"/>
  <c r="DF160" i="1"/>
  <c r="DE161" i="1" l="1"/>
  <c r="DD161" i="1"/>
  <c r="DG162" i="1"/>
  <c r="DF161" i="1"/>
  <c r="DE162" i="1" l="1"/>
  <c r="DD162" i="1"/>
  <c r="DG163" i="1"/>
  <c r="DF162" i="1"/>
  <c r="DD163" i="1" l="1"/>
  <c r="DE163" i="1"/>
  <c r="DG164" i="1"/>
  <c r="DF163" i="1"/>
  <c r="DE164" i="1" l="1"/>
  <c r="DD164" i="1"/>
  <c r="DG165" i="1"/>
  <c r="DF164" i="1"/>
  <c r="DE165" i="1" l="1"/>
  <c r="DD165" i="1"/>
  <c r="DG166" i="1"/>
  <c r="DF165" i="1"/>
  <c r="DE166" i="1" l="1"/>
  <c r="DD166" i="1"/>
  <c r="DG167" i="1"/>
  <c r="DF166" i="1"/>
  <c r="DD167" i="1" l="1"/>
  <c r="DE167" i="1"/>
  <c r="DG168" i="1"/>
  <c r="DF167" i="1"/>
  <c r="DE168" i="1" l="1"/>
  <c r="DD168" i="1"/>
  <c r="DG169" i="1"/>
  <c r="DF168" i="1"/>
  <c r="DE169" i="1" l="1"/>
  <c r="DD169" i="1"/>
  <c r="DG170" i="1"/>
  <c r="DF169" i="1"/>
  <c r="DE170" i="1" l="1"/>
  <c r="DD170" i="1"/>
  <c r="DG171" i="1"/>
  <c r="DF170" i="1"/>
  <c r="DE171" i="1" l="1"/>
  <c r="DD171" i="1"/>
  <c r="DG172" i="1"/>
  <c r="DF171" i="1"/>
  <c r="DE172" i="1" l="1"/>
  <c r="DD172" i="1"/>
  <c r="DG173" i="1"/>
  <c r="DF172" i="1"/>
  <c r="DD173" i="1" l="1"/>
  <c r="DE173" i="1"/>
  <c r="DG174" i="1"/>
  <c r="DF173" i="1"/>
  <c r="DE174" i="1" l="1"/>
  <c r="DD174" i="1"/>
  <c r="DG175" i="1"/>
  <c r="DF174" i="1"/>
  <c r="DE175" i="1" l="1"/>
  <c r="DD175" i="1"/>
  <c r="DG176" i="1"/>
  <c r="DF175" i="1"/>
  <c r="DE176" i="1" l="1"/>
  <c r="DD176" i="1"/>
  <c r="DG177" i="1"/>
  <c r="DF176" i="1"/>
  <c r="DE177" i="1" l="1"/>
  <c r="DD177" i="1"/>
  <c r="DG178" i="1"/>
  <c r="DF177" i="1"/>
  <c r="DE178" i="1" l="1"/>
  <c r="DD178" i="1"/>
  <c r="DG179" i="1"/>
  <c r="DF178" i="1"/>
  <c r="DE179" i="1" l="1"/>
  <c r="DD179" i="1"/>
  <c r="DG180" i="1"/>
  <c r="DF179" i="1"/>
  <c r="DD180" i="1" l="1"/>
  <c r="DE180" i="1"/>
  <c r="DG181" i="1"/>
  <c r="DF180" i="1"/>
  <c r="DD181" i="1" l="1"/>
  <c r="DE181" i="1"/>
  <c r="DG182" i="1"/>
  <c r="DF181" i="1"/>
  <c r="DE182" i="1" l="1"/>
  <c r="DD182" i="1"/>
  <c r="DG183" i="1"/>
  <c r="DF182" i="1"/>
  <c r="DG184" i="1" l="1"/>
  <c r="DE184" i="1" l="1"/>
  <c r="DD184" i="1"/>
  <c r="DG185" i="1"/>
  <c r="DF184" i="1"/>
  <c r="DE185" i="1" l="1"/>
  <c r="DD185" i="1"/>
  <c r="DG186" i="1"/>
  <c r="DF185" i="1"/>
  <c r="DE186" i="1" l="1"/>
  <c r="DD186" i="1"/>
  <c r="DG187" i="1"/>
  <c r="DF186" i="1"/>
  <c r="DE187" i="1" l="1"/>
  <c r="DD187" i="1"/>
  <c r="DG188" i="1"/>
  <c r="DF187" i="1"/>
  <c r="DE188" i="1" l="1"/>
  <c r="DD188" i="1"/>
  <c r="DG189" i="1"/>
  <c r="DF188" i="1"/>
  <c r="DE189" i="1" l="1"/>
  <c r="DD189" i="1"/>
  <c r="DG190" i="1"/>
  <c r="DF189" i="1"/>
  <c r="DE190" i="1" l="1"/>
  <c r="DD190" i="1"/>
  <c r="DG191" i="1"/>
  <c r="DF190" i="1"/>
  <c r="DD191" i="1" l="1"/>
  <c r="DE191" i="1"/>
  <c r="DG192" i="1"/>
  <c r="DF191" i="1"/>
  <c r="DE192" i="1" l="1"/>
  <c r="DD192" i="1"/>
  <c r="DG193" i="1"/>
  <c r="DF192" i="1"/>
  <c r="DE193" i="1" l="1"/>
  <c r="DD193" i="1"/>
  <c r="DG194" i="1"/>
  <c r="DF193" i="1"/>
  <c r="DD194" i="1" l="1"/>
  <c r="DE194" i="1"/>
  <c r="DG195" i="1"/>
  <c r="DF194" i="1"/>
  <c r="DD195" i="1" l="1"/>
  <c r="DE195" i="1"/>
  <c r="DG196" i="1"/>
  <c r="DF195" i="1"/>
  <c r="DD196" i="1" l="1"/>
  <c r="DE196" i="1"/>
  <c r="DG197" i="1"/>
  <c r="DF196" i="1"/>
  <c r="DE197" i="1" l="1"/>
  <c r="DD197" i="1"/>
  <c r="DG198" i="1"/>
  <c r="DF197" i="1"/>
  <c r="DE198" i="1" l="1"/>
  <c r="DD198" i="1"/>
  <c r="DG199" i="1"/>
  <c r="DF198" i="1"/>
  <c r="DE199" i="1" l="1"/>
  <c r="DD199" i="1"/>
  <c r="DG200" i="1"/>
  <c r="DF199" i="1"/>
  <c r="DE200" i="1" l="1"/>
  <c r="DD200" i="1"/>
  <c r="DG201" i="1"/>
  <c r="DF200" i="1"/>
  <c r="DE201" i="1" l="1"/>
  <c r="DD201" i="1"/>
  <c r="DG202" i="1"/>
  <c r="DF201" i="1"/>
  <c r="DE202" i="1" l="1"/>
  <c r="DD202" i="1"/>
  <c r="DG203" i="1"/>
  <c r="DF202" i="1"/>
  <c r="DE203" i="1" l="1"/>
  <c r="DD203" i="1"/>
  <c r="DG204" i="1"/>
  <c r="DF203" i="1"/>
  <c r="DE204" i="1" l="1"/>
  <c r="DD204" i="1"/>
  <c r="DG205" i="1"/>
  <c r="DF204" i="1"/>
  <c r="DE205" i="1" l="1"/>
  <c r="DD205" i="1"/>
  <c r="DG206" i="1"/>
  <c r="DF205" i="1"/>
  <c r="DE206" i="1" l="1"/>
  <c r="DD206" i="1"/>
  <c r="DG207" i="1"/>
  <c r="DF206" i="1"/>
  <c r="DD207" i="1" l="1"/>
  <c r="DE207" i="1"/>
  <c r="DG208" i="1"/>
  <c r="DF207" i="1"/>
  <c r="DD208" i="1" l="1"/>
  <c r="DE208" i="1"/>
  <c r="DG209" i="1"/>
  <c r="DF208" i="1"/>
  <c r="DE209" i="1" l="1"/>
  <c r="DD209" i="1"/>
  <c r="DG210" i="1"/>
  <c r="DF209" i="1"/>
  <c r="DD210" i="1" l="1"/>
  <c r="DE210" i="1"/>
  <c r="DG211" i="1"/>
  <c r="DF210" i="1"/>
  <c r="DE211" i="1" l="1"/>
  <c r="DD211" i="1"/>
  <c r="DG212" i="1"/>
  <c r="DF211" i="1"/>
  <c r="DE212" i="1" l="1"/>
  <c r="DD212" i="1"/>
  <c r="DG213" i="1"/>
  <c r="DF212" i="1"/>
  <c r="DE213" i="1" l="1"/>
  <c r="DD213" i="1"/>
  <c r="DG214" i="1"/>
  <c r="DF213" i="1"/>
  <c r="DE214" i="1" l="1"/>
  <c r="DD214" i="1"/>
  <c r="DG215" i="1"/>
  <c r="DF214" i="1"/>
  <c r="DE215" i="1" l="1"/>
  <c r="DD215" i="1"/>
  <c r="DG216" i="1"/>
  <c r="DF215" i="1"/>
  <c r="DG217" i="1" l="1"/>
  <c r="DE217" i="1" l="1"/>
  <c r="DD217" i="1"/>
  <c r="DG218" i="1"/>
  <c r="DF217" i="1"/>
  <c r="DD218" i="1" l="1"/>
  <c r="DE218" i="1"/>
  <c r="DG219" i="1"/>
  <c r="DF218" i="1"/>
  <c r="DE219" i="1" l="1"/>
  <c r="DD219" i="1"/>
  <c r="DG220" i="1"/>
  <c r="DF219" i="1"/>
  <c r="DE220" i="1" l="1"/>
  <c r="DD220" i="1"/>
  <c r="DG221" i="1"/>
  <c r="DF220" i="1"/>
  <c r="DD221" i="1" l="1"/>
  <c r="DE221" i="1"/>
  <c r="DG222" i="1"/>
  <c r="DF221" i="1"/>
  <c r="DE222" i="1" l="1"/>
  <c r="DD222" i="1"/>
  <c r="DG223" i="1"/>
  <c r="DF222" i="1"/>
  <c r="DG224" i="1" l="1"/>
  <c r="DG225" i="1" l="1"/>
  <c r="DE225" i="1" l="1"/>
  <c r="DD225" i="1"/>
  <c r="DG226" i="1"/>
  <c r="DF225" i="1"/>
  <c r="DE226" i="1" l="1"/>
  <c r="DD226" i="1"/>
  <c r="DG227" i="1"/>
  <c r="DF226" i="1"/>
  <c r="DG228" i="1" l="1"/>
  <c r="DG229" i="1" l="1"/>
  <c r="DD229" i="1" l="1"/>
  <c r="DE229" i="1"/>
  <c r="DG230" i="1"/>
  <c r="DF229" i="1"/>
  <c r="DD230" i="1" l="1"/>
  <c r="DE230" i="1"/>
  <c r="DG231" i="1"/>
  <c r="DF230" i="1"/>
  <c r="DD231" i="1" l="1"/>
  <c r="DE231" i="1"/>
  <c r="DG232" i="1"/>
  <c r="DF231" i="1"/>
  <c r="DG233" i="1" l="1"/>
  <c r="DE233" i="1" l="1"/>
  <c r="DD233" i="1"/>
  <c r="DG234" i="1"/>
  <c r="DF233" i="1"/>
  <c r="DD234" i="1" l="1"/>
  <c r="DE234" i="1"/>
  <c r="DG235" i="1"/>
  <c r="DF234" i="1"/>
  <c r="DE235" i="1" l="1"/>
  <c r="DD235" i="1"/>
  <c r="DG236" i="1"/>
  <c r="DF235" i="1"/>
  <c r="DD236" i="1" l="1"/>
  <c r="DE236" i="1"/>
  <c r="DG237" i="1"/>
  <c r="DF236" i="1"/>
  <c r="DE237" i="1" l="1"/>
  <c r="DD237" i="1"/>
  <c r="DG238" i="1"/>
  <c r="DF237" i="1"/>
  <c r="DE238" i="1" l="1"/>
  <c r="DD238" i="1"/>
  <c r="DG239" i="1"/>
  <c r="DF238" i="1"/>
  <c r="DD239" i="1" l="1"/>
  <c r="DE239" i="1"/>
  <c r="DG240" i="1"/>
  <c r="DF239" i="1"/>
  <c r="DD240" i="1" l="1"/>
  <c r="DE240" i="1"/>
  <c r="DG241" i="1"/>
  <c r="DF240" i="1"/>
  <c r="DE241" i="1" l="1"/>
  <c r="DD241" i="1"/>
  <c r="DG242" i="1"/>
  <c r="DF241" i="1"/>
  <c r="DD242" i="1" l="1"/>
  <c r="DE242" i="1"/>
  <c r="DG243" i="1"/>
  <c r="DF242" i="1"/>
  <c r="DG244" i="1" l="1"/>
  <c r="DG245" i="1" l="1"/>
  <c r="DD245" i="1" l="1"/>
  <c r="DE245" i="1"/>
  <c r="DG246" i="1"/>
  <c r="DF245" i="1"/>
  <c r="DE246" i="1" l="1"/>
  <c r="DD246" i="1"/>
  <c r="DG247" i="1"/>
  <c r="DF246" i="1"/>
  <c r="DD247" i="1" l="1"/>
  <c r="DE247" i="1"/>
  <c r="DG248" i="1"/>
  <c r="DF247" i="1"/>
  <c r="DG249" i="1" l="1"/>
  <c r="DD249" i="1" l="1"/>
  <c r="DE249" i="1"/>
  <c r="DG250" i="1"/>
  <c r="DF249" i="1"/>
  <c r="DE250" i="1" l="1"/>
  <c r="DD250" i="1"/>
  <c r="DG251" i="1"/>
  <c r="DF250" i="1"/>
  <c r="DF251" i="1" l="1"/>
  <c r="DD251" i="1"/>
  <c r="DE251" i="1"/>
  <c r="W228" i="1" l="1"/>
  <c r="R233" i="1"/>
  <c r="R224" i="1" s="1"/>
  <c r="CL224" i="1" l="1"/>
  <c r="W224" i="1"/>
  <c r="CR228" i="1"/>
  <c r="W233" i="1"/>
  <c r="CR224" i="1" l="1"/>
  <c r="DD223" i="1" s="1"/>
  <c r="CQ224" i="1"/>
  <c r="CR233" i="1"/>
  <c r="I53" i="2"/>
  <c r="DF223" i="1" l="1"/>
  <c r="DE223" i="1"/>
  <c r="I58" i="2"/>
  <c r="CM33" i="1" l="1"/>
  <c r="AC33" i="1"/>
  <c r="CS33" i="1" s="1"/>
  <c r="Y64" i="1"/>
  <c r="AC64" i="1" l="1"/>
  <c r="CM64" i="1"/>
  <c r="Y217" i="1"/>
  <c r="CS64" i="1" l="1"/>
  <c r="AC109" i="1"/>
  <c r="CM109" i="1"/>
  <c r="Y113" i="1"/>
  <c r="Y104" i="1" s="1"/>
  <c r="AC217" i="1"/>
  <c r="Y225" i="1"/>
  <c r="AC113" i="1" l="1"/>
  <c r="CM113" i="1"/>
  <c r="Y245" i="1"/>
  <c r="CS109" i="1"/>
  <c r="DD108" i="1" s="1"/>
  <c r="CQ109" i="1"/>
  <c r="AC225" i="1"/>
  <c r="CS217" i="1"/>
  <c r="DF108" i="1" l="1"/>
  <c r="DE108" i="1"/>
  <c r="CS113" i="1"/>
  <c r="CS225" i="1"/>
  <c r="DJ109" i="1"/>
  <c r="DK109" i="1" s="1"/>
  <c r="DL109" i="1" s="1"/>
  <c r="DM109" i="1" s="1"/>
  <c r="DN109" i="1" s="1"/>
  <c r="DO109" i="1" s="1"/>
  <c r="DP109" i="1" s="1"/>
  <c r="DQ109" i="1" s="1"/>
  <c r="DR109" i="1" s="1"/>
  <c r="DS109" i="1" s="1"/>
  <c r="DT109" i="1" s="1"/>
  <c r="AC245" i="1"/>
  <c r="Y249" i="1"/>
  <c r="AC249" i="1" l="1"/>
  <c r="CS245" i="1"/>
  <c r="DD244" i="1" s="1"/>
  <c r="DE244" i="1" l="1"/>
  <c r="CS249" i="1"/>
  <c r="CM104" i="1" l="1"/>
  <c r="AC104" i="1"/>
  <c r="Y97" i="1"/>
  <c r="Y29" i="1"/>
  <c r="AC29" i="1" l="1"/>
  <c r="Y30" i="1"/>
  <c r="Y105" i="1"/>
  <c r="AC97" i="1"/>
  <c r="CQ104" i="1"/>
  <c r="CS104" i="1"/>
  <c r="DE103" i="1" l="1"/>
  <c r="DD103" i="1"/>
  <c r="DJ104" i="1"/>
  <c r="DK104" i="1" s="1"/>
  <c r="DL104" i="1" s="1"/>
  <c r="DM104" i="1" s="1"/>
  <c r="DN104" i="1" s="1"/>
  <c r="DO104" i="1" s="1"/>
  <c r="DP104" i="1" s="1"/>
  <c r="DQ104" i="1" s="1"/>
  <c r="DR104" i="1" s="1"/>
  <c r="DS104" i="1" s="1"/>
  <c r="DT104" i="1" s="1"/>
  <c r="DF103" i="1"/>
  <c r="AC105" i="1"/>
  <c r="CS97" i="1"/>
  <c r="Y125" i="1"/>
  <c r="CS29" i="1"/>
  <c r="AC30" i="1"/>
  <c r="CS105" i="1" l="1"/>
  <c r="Y129" i="1"/>
  <c r="AC125" i="1"/>
  <c r="CS30" i="1"/>
  <c r="J106" i="2"/>
  <c r="AC129" i="1" l="1"/>
  <c r="J111" i="2"/>
  <c r="CS125" i="1"/>
  <c r="DE124" i="1" l="1"/>
  <c r="DD124" i="1"/>
  <c r="DJ125" i="1"/>
  <c r="DK125" i="1" s="1"/>
  <c r="DL125" i="1" s="1"/>
  <c r="CS129" i="1"/>
  <c r="W153" i="1" l="1"/>
  <c r="R184" i="1"/>
  <c r="CL33" i="1"/>
  <c r="R64" i="1"/>
  <c r="W33" i="1"/>
  <c r="CR33" i="1" l="1"/>
  <c r="W64" i="1"/>
  <c r="CQ33" i="1"/>
  <c r="R149" i="1"/>
  <c r="R108" i="1"/>
  <c r="R217" i="1"/>
  <c r="R97" i="1"/>
  <c r="R29" i="1"/>
  <c r="CL64" i="1"/>
  <c r="W184" i="1"/>
  <c r="CR153" i="1"/>
  <c r="DE32" i="1" l="1"/>
  <c r="DD32" i="1"/>
  <c r="CR184" i="1"/>
  <c r="R105" i="1"/>
  <c r="W97" i="1"/>
  <c r="W217" i="1"/>
  <c r="R225" i="1"/>
  <c r="W149" i="1"/>
  <c r="R150" i="1"/>
  <c r="CL108" i="1"/>
  <c r="R113" i="1"/>
  <c r="W108" i="1"/>
  <c r="CR64" i="1"/>
  <c r="CQ64" i="1"/>
  <c r="I18" i="2"/>
  <c r="W29" i="1"/>
  <c r="R30" i="1"/>
  <c r="DF32" i="1"/>
  <c r="DI33" i="1"/>
  <c r="DJ33" i="1" s="1"/>
  <c r="DK33" i="1" s="1"/>
  <c r="DL33" i="1" s="1"/>
  <c r="DM33" i="1" s="1"/>
  <c r="DN33" i="1" s="1"/>
  <c r="DO33" i="1" s="1"/>
  <c r="DP33" i="1" s="1"/>
  <c r="DQ33" i="1" s="1"/>
  <c r="DR33" i="1" s="1"/>
  <c r="DS33" i="1" s="1"/>
  <c r="DT33" i="1" s="1"/>
  <c r="DE63" i="1" l="1"/>
  <c r="DD63" i="1"/>
  <c r="CR29" i="1"/>
  <c r="W30" i="1"/>
  <c r="DI64" i="1"/>
  <c r="DJ64" i="1" s="1"/>
  <c r="DK64" i="1" s="1"/>
  <c r="DL64" i="1" s="1"/>
  <c r="DM64" i="1" s="1"/>
  <c r="DN64" i="1" s="1"/>
  <c r="DO64" i="1" s="1"/>
  <c r="DP64" i="1" s="1"/>
  <c r="DQ64" i="1" s="1"/>
  <c r="DR64" i="1" s="1"/>
  <c r="DS64" i="1" s="1"/>
  <c r="DT64" i="1" s="1"/>
  <c r="DF63" i="1"/>
  <c r="R244" i="1"/>
  <c r="R124" i="1"/>
  <c r="CR108" i="1"/>
  <c r="CQ108" i="1"/>
  <c r="CR217" i="1"/>
  <c r="W225" i="1"/>
  <c r="I41" i="2"/>
  <c r="CL113" i="1"/>
  <c r="W113" i="1"/>
  <c r="W150" i="1"/>
  <c r="CR149" i="1"/>
  <c r="W105" i="1"/>
  <c r="CR97" i="1"/>
  <c r="DE107" i="1" l="1"/>
  <c r="DD107" i="1"/>
  <c r="DD96" i="1"/>
  <c r="DD28" i="1"/>
  <c r="DD216" i="1"/>
  <c r="CR113" i="1"/>
  <c r="CQ113" i="1"/>
  <c r="CR225" i="1"/>
  <c r="DD224" i="1" s="1"/>
  <c r="W244" i="1"/>
  <c r="R249" i="1"/>
  <c r="CR105" i="1"/>
  <c r="DI108" i="1"/>
  <c r="DJ108" i="1" s="1"/>
  <c r="DK108" i="1" s="1"/>
  <c r="DL108" i="1" s="1"/>
  <c r="DM108" i="1" s="1"/>
  <c r="DN108" i="1" s="1"/>
  <c r="DO108" i="1" s="1"/>
  <c r="DP108" i="1" s="1"/>
  <c r="DQ108" i="1" s="1"/>
  <c r="DR108" i="1" s="1"/>
  <c r="DS108" i="1" s="1"/>
  <c r="DT108" i="1" s="1"/>
  <c r="DF107" i="1"/>
  <c r="I115" i="2"/>
  <c r="I106" i="2"/>
  <c r="R129" i="1"/>
  <c r="W124" i="1"/>
  <c r="CR30" i="1"/>
  <c r="DI97" i="1"/>
  <c r="DJ97" i="1" s="1"/>
  <c r="DK97" i="1" s="1"/>
  <c r="CR150" i="1"/>
  <c r="I92" i="2"/>
  <c r="I85" i="2"/>
  <c r="I49" i="2"/>
  <c r="I43" i="2"/>
  <c r="DI29" i="1"/>
  <c r="DJ29" i="1" s="1"/>
  <c r="DK29" i="1" s="1"/>
  <c r="DD104" i="1" l="1"/>
  <c r="DD29" i="1"/>
  <c r="DE112" i="1"/>
  <c r="DD112" i="1"/>
  <c r="I111" i="2"/>
  <c r="I116" i="2"/>
  <c r="W249" i="1"/>
  <c r="DI105" i="1"/>
  <c r="DJ105" i="1" s="1"/>
  <c r="DK105" i="1" s="1"/>
  <c r="DI30" i="1"/>
  <c r="DJ30" i="1" s="1"/>
  <c r="DK30" i="1" s="1"/>
  <c r="CR124" i="1"/>
  <c r="W129" i="1"/>
  <c r="CR244" i="1"/>
  <c r="DD243" i="1" s="1"/>
  <c r="DF112" i="1"/>
  <c r="DI113" i="1"/>
  <c r="DJ113" i="1" s="1"/>
  <c r="DK113" i="1" s="1"/>
  <c r="DL113" i="1" s="1"/>
  <c r="DM113" i="1" s="1"/>
  <c r="DN113" i="1" s="1"/>
  <c r="DO113" i="1" s="1"/>
  <c r="DP113" i="1" s="1"/>
  <c r="DQ113" i="1" s="1"/>
  <c r="DR113" i="1" s="1"/>
  <c r="DS113" i="1" s="1"/>
  <c r="DT113" i="1" s="1"/>
  <c r="DD123" i="1" l="1"/>
  <c r="CR249" i="1"/>
  <c r="DD248" i="1" s="1"/>
  <c r="DI124" i="1"/>
  <c r="DJ124" i="1" s="1"/>
  <c r="DK124" i="1" s="1"/>
  <c r="CR129" i="1"/>
  <c r="DD128" i="1" l="1"/>
  <c r="DI129" i="1"/>
  <c r="DJ129" i="1" s="1"/>
  <c r="DK129" i="1" s="1"/>
  <c r="CM153" i="1" l="1"/>
  <c r="Y184" i="1"/>
  <c r="CM184" i="1" s="1"/>
  <c r="Y229" i="1" l="1"/>
  <c r="AC229" i="1" s="1"/>
  <c r="CS229" i="1" s="1"/>
  <c r="CL153" i="1"/>
  <c r="X184" i="1"/>
  <c r="Y149" i="1"/>
  <c r="CM229" i="1"/>
  <c r="AC153" i="1"/>
  <c r="DE228" i="1" l="1"/>
  <c r="DD228" i="1"/>
  <c r="Y233" i="1"/>
  <c r="CM233" i="1" s="1"/>
  <c r="CQ229" i="1"/>
  <c r="AC184" i="1"/>
  <c r="CS153" i="1"/>
  <c r="J54" i="2"/>
  <c r="U54" i="2" s="1"/>
  <c r="DF228" i="1"/>
  <c r="CM149" i="1"/>
  <c r="Y150" i="1"/>
  <c r="CM150" i="1" s="1"/>
  <c r="X149" i="1"/>
  <c r="CL184" i="1"/>
  <c r="CQ153" i="1"/>
  <c r="DE152" i="1" l="1"/>
  <c r="DD152" i="1"/>
  <c r="X233" i="1"/>
  <c r="AC228" i="1"/>
  <c r="CL228" i="1"/>
  <c r="J18" i="2"/>
  <c r="DF152" i="1"/>
  <c r="CL149" i="1"/>
  <c r="X150" i="1"/>
  <c r="CL150" i="1" s="1"/>
  <c r="AC149" i="1"/>
  <c r="V54" i="2"/>
  <c r="W54" i="2" s="1"/>
  <c r="CQ184" i="1"/>
  <c r="CS184" i="1"/>
  <c r="DD183" i="1" s="1"/>
  <c r="DF183" i="1" l="1"/>
  <c r="DE183" i="1"/>
  <c r="AC150" i="1"/>
  <c r="CQ149" i="1"/>
  <c r="CS149" i="1"/>
  <c r="U18" i="2"/>
  <c r="J41" i="2"/>
  <c r="CQ228" i="1"/>
  <c r="CS228" i="1"/>
  <c r="AC233" i="1"/>
  <c r="CL233" i="1"/>
  <c r="DE227" i="1" l="1"/>
  <c r="DD227" i="1"/>
  <c r="DE148" i="1"/>
  <c r="DD148" i="1"/>
  <c r="DF227" i="1"/>
  <c r="J53" i="2"/>
  <c r="V18" i="2"/>
  <c r="W18" i="2" s="1"/>
  <c r="U41" i="2"/>
  <c r="DF148" i="1"/>
  <c r="J115" i="2"/>
  <c r="CQ233" i="1"/>
  <c r="CS233" i="1"/>
  <c r="DD232" i="1" s="1"/>
  <c r="J43" i="2"/>
  <c r="J49" i="2"/>
  <c r="J85" i="2"/>
  <c r="J92" i="2"/>
  <c r="CQ150" i="1"/>
  <c r="CS150" i="1"/>
  <c r="DD149" i="1" s="1"/>
  <c r="DF232" i="1" l="1"/>
  <c r="DE232" i="1"/>
  <c r="DF149" i="1"/>
  <c r="DE149" i="1"/>
  <c r="J58" i="2"/>
  <c r="U58" i="2" s="1"/>
  <c r="V58" i="2" s="1"/>
  <c r="W58" i="2" s="1"/>
  <c r="U53" i="2"/>
  <c r="J116" i="2"/>
  <c r="V41" i="2"/>
  <c r="V53" i="2" l="1"/>
  <c r="W53" i="2" s="1"/>
  <c r="W41" i="2"/>
  <c r="BH70" i="1" l="1"/>
  <c r="BH94" i="1" s="1"/>
  <c r="BM67" i="1"/>
  <c r="CY67" i="1" l="1"/>
  <c r="P68" i="2" s="1"/>
  <c r="P71" i="2" s="1"/>
  <c r="P83" i="2" s="1"/>
  <c r="BM70" i="1"/>
  <c r="BH116" i="1"/>
  <c r="BH217" i="1"/>
  <c r="BH97" i="1"/>
  <c r="BH29" i="1"/>
  <c r="BH30" i="1" l="1"/>
  <c r="BH105" i="1"/>
  <c r="BH124" i="1" s="1"/>
  <c r="CY70" i="1"/>
  <c r="BM94" i="1"/>
  <c r="CY94" i="1" s="1"/>
  <c r="BH225" i="1"/>
  <c r="BH244" i="1" s="1"/>
  <c r="BM116" i="1"/>
  <c r="CY116" i="1" s="1"/>
  <c r="P96" i="2" s="1"/>
  <c r="P101" i="2" s="1"/>
  <c r="BH121" i="1"/>
  <c r="BM121" i="1" s="1"/>
  <c r="CY121" i="1" s="1"/>
  <c r="BM244" i="1" l="1"/>
  <c r="CY244" i="1" s="1"/>
  <c r="BH249" i="1"/>
  <c r="BM124" i="1"/>
  <c r="CY124" i="1" s="1"/>
  <c r="BH129" i="1"/>
  <c r="AJ70" i="1" l="1"/>
  <c r="AO67" i="1"/>
  <c r="AJ94" i="1" l="1"/>
  <c r="CU67" i="1"/>
  <c r="DE66" i="1" s="1"/>
  <c r="AO70" i="1"/>
  <c r="CU70" i="1" l="1"/>
  <c r="DE69" i="1" s="1"/>
  <c r="AO94" i="1"/>
  <c r="L68" i="2"/>
  <c r="DL67" i="1"/>
  <c r="AJ116" i="1"/>
  <c r="AJ217" i="1"/>
  <c r="AJ29" i="1"/>
  <c r="AJ97" i="1"/>
  <c r="DL70" i="1" l="1"/>
  <c r="AJ30" i="1"/>
  <c r="AO29" i="1"/>
  <c r="L71" i="2"/>
  <c r="L83" i="2" s="1"/>
  <c r="AO217" i="1"/>
  <c r="AJ225" i="1"/>
  <c r="CU94" i="1"/>
  <c r="DE93" i="1" s="1"/>
  <c r="AJ105" i="1"/>
  <c r="AO97" i="1"/>
  <c r="AJ121" i="1"/>
  <c r="AO116" i="1"/>
  <c r="DL94" i="1" l="1"/>
  <c r="CU97" i="1"/>
  <c r="DE96" i="1" s="1"/>
  <c r="AO105" i="1"/>
  <c r="L92" i="2"/>
  <c r="L85" i="2"/>
  <c r="CU116" i="1"/>
  <c r="DE115" i="1" s="1"/>
  <c r="AJ124" i="1"/>
  <c r="AJ244" i="1"/>
  <c r="AO121" i="1"/>
  <c r="CU217" i="1"/>
  <c r="DE216" i="1" s="1"/>
  <c r="AO225" i="1"/>
  <c r="AO30" i="1"/>
  <c r="CU29" i="1"/>
  <c r="DE28" i="1" s="1"/>
  <c r="CU30" i="1" l="1"/>
  <c r="DE29" i="1" s="1"/>
  <c r="L106" i="2"/>
  <c r="DL97" i="1"/>
  <c r="CU121" i="1"/>
  <c r="DE120" i="1" s="1"/>
  <c r="AO124" i="1"/>
  <c r="AJ129" i="1"/>
  <c r="CU225" i="1"/>
  <c r="DE224" i="1" s="1"/>
  <c r="L115" i="2"/>
  <c r="DL29" i="1"/>
  <c r="AJ249" i="1"/>
  <c r="AO244" i="1"/>
  <c r="L96" i="2"/>
  <c r="DL116" i="1"/>
  <c r="CU105" i="1"/>
  <c r="DE104" i="1" s="1"/>
  <c r="DL121" i="1" l="1"/>
  <c r="DL105" i="1"/>
  <c r="DL30" i="1"/>
  <c r="L116" i="2"/>
  <c r="CU244" i="1"/>
  <c r="DE243" i="1" s="1"/>
  <c r="CU124" i="1"/>
  <c r="DE123" i="1" s="1"/>
  <c r="L111" i="2"/>
  <c r="AO249" i="1"/>
  <c r="AO129" i="1"/>
  <c r="L101" i="2"/>
  <c r="DL124" i="1" l="1"/>
  <c r="CU129" i="1"/>
  <c r="DE128" i="1" s="1"/>
  <c r="CU249" i="1"/>
  <c r="DE248" i="1" s="1"/>
  <c r="DL129" i="1" l="1"/>
  <c r="BA67" i="1"/>
  <c r="AV70" i="1"/>
  <c r="AV94" i="1" s="1"/>
  <c r="CW67" i="1" l="1"/>
  <c r="N68" i="2" s="1"/>
  <c r="N71" i="2" s="1"/>
  <c r="N83" i="2" s="1"/>
  <c r="BA70" i="1"/>
  <c r="AV116" i="1"/>
  <c r="AV217" i="1"/>
  <c r="AV29" i="1"/>
  <c r="AV97" i="1"/>
  <c r="BG67" i="1" l="1"/>
  <c r="BB70" i="1"/>
  <c r="BB94" i="1" s="1"/>
  <c r="AV225" i="1"/>
  <c r="AV244" i="1" s="1"/>
  <c r="AV121" i="1"/>
  <c r="BA121" i="1" s="1"/>
  <c r="CW121" i="1" s="1"/>
  <c r="BA116" i="1"/>
  <c r="CW116" i="1" s="1"/>
  <c r="N96" i="2" s="1"/>
  <c r="N101" i="2" s="1"/>
  <c r="AV105" i="1"/>
  <c r="AV124" i="1" s="1"/>
  <c r="CW70" i="1"/>
  <c r="BA94" i="1"/>
  <c r="CW94" i="1" s="1"/>
  <c r="AV30" i="1"/>
  <c r="BB116" i="1" l="1"/>
  <c r="BB217" i="1"/>
  <c r="BB97" i="1"/>
  <c r="BB29" i="1"/>
  <c r="BA244" i="1"/>
  <c r="CW244" i="1" s="1"/>
  <c r="AV249" i="1"/>
  <c r="AV129" i="1"/>
  <c r="BA124" i="1"/>
  <c r="CW124" i="1" s="1"/>
  <c r="CX67" i="1"/>
  <c r="O68" i="2" s="1"/>
  <c r="O71" i="2" s="1"/>
  <c r="O83" i="2" s="1"/>
  <c r="BG70" i="1"/>
  <c r="BB30" i="1" l="1"/>
  <c r="CX70" i="1"/>
  <c r="BG94" i="1"/>
  <c r="CX94" i="1" s="1"/>
  <c r="BB225" i="1"/>
  <c r="BB244" i="1" s="1"/>
  <c r="BB121" i="1"/>
  <c r="BG121" i="1" s="1"/>
  <c r="CX121" i="1" s="1"/>
  <c r="BG116" i="1"/>
  <c r="CX116" i="1" s="1"/>
  <c r="O96" i="2" s="1"/>
  <c r="O101" i="2" s="1"/>
  <c r="BB105" i="1"/>
  <c r="BB124" i="1" s="1"/>
  <c r="BB249" i="1" l="1"/>
  <c r="BG244" i="1"/>
  <c r="CX244" i="1" s="1"/>
  <c r="BG124" i="1"/>
  <c r="CX124" i="1" s="1"/>
  <c r="BB129" i="1"/>
  <c r="AP70" i="1" l="1"/>
  <c r="AU67" i="1"/>
  <c r="CL67" i="1"/>
  <c r="CV67" i="1" l="1"/>
  <c r="DF66" i="1" s="1"/>
  <c r="AU70" i="1"/>
  <c r="CQ67" i="1"/>
  <c r="AP94" i="1"/>
  <c r="CL70" i="1"/>
  <c r="AP116" i="1" l="1"/>
  <c r="AP217" i="1"/>
  <c r="AP97" i="1"/>
  <c r="AP29" i="1"/>
  <c r="CL94" i="1"/>
  <c r="CV70" i="1"/>
  <c r="AU94" i="1"/>
  <c r="CQ70" i="1"/>
  <c r="M68" i="2"/>
  <c r="DM67" i="1"/>
  <c r="DN67" i="1" s="1"/>
  <c r="DO67" i="1" s="1"/>
  <c r="DP67" i="1" s="1"/>
  <c r="DQ67" i="1" s="1"/>
  <c r="DR67" i="1" s="1"/>
  <c r="DS67" i="1" s="1"/>
  <c r="DT67" i="1" s="1"/>
  <c r="DM70" i="1" l="1"/>
  <c r="DN70" i="1" s="1"/>
  <c r="DO70" i="1" s="1"/>
  <c r="DP70" i="1" s="1"/>
  <c r="DQ70" i="1" s="1"/>
  <c r="DR70" i="1" s="1"/>
  <c r="DS70" i="1" s="1"/>
  <c r="DT70" i="1" s="1"/>
  <c r="DF69" i="1"/>
  <c r="AP225" i="1"/>
  <c r="CL217" i="1"/>
  <c r="AP30" i="1"/>
  <c r="CL30" i="1" s="1"/>
  <c r="CL29" i="1"/>
  <c r="CV94" i="1"/>
  <c r="CQ94" i="1"/>
  <c r="AP105" i="1"/>
  <c r="CL97" i="1"/>
  <c r="M71" i="2"/>
  <c r="M83" i="2" s="1"/>
  <c r="U68" i="2"/>
  <c r="AU116" i="1"/>
  <c r="AP121" i="1"/>
  <c r="CL116" i="1"/>
  <c r="DM94" i="1" l="1"/>
  <c r="DN94" i="1" s="1"/>
  <c r="DO94" i="1" s="1"/>
  <c r="DP94" i="1" s="1"/>
  <c r="DQ94" i="1" s="1"/>
  <c r="DR94" i="1" s="1"/>
  <c r="DS94" i="1" s="1"/>
  <c r="DT94" i="1" s="1"/>
  <c r="DF93" i="1"/>
  <c r="CV116" i="1"/>
  <c r="DF115" i="1" s="1"/>
  <c r="CQ116" i="1"/>
  <c r="U71" i="2"/>
  <c r="V68" i="2"/>
  <c r="W68" i="2" s="1"/>
  <c r="AP124" i="1"/>
  <c r="CL105" i="1"/>
  <c r="AP244" i="1"/>
  <c r="CL225" i="1"/>
  <c r="AU121" i="1"/>
  <c r="CL121" i="1"/>
  <c r="CV121" i="1" l="1"/>
  <c r="CQ121" i="1"/>
  <c r="AU244" i="1"/>
  <c r="AP249" i="1"/>
  <c r="CL244" i="1"/>
  <c r="V71" i="2"/>
  <c r="U83" i="2"/>
  <c r="AP129" i="1"/>
  <c r="AU124" i="1"/>
  <c r="CL124" i="1"/>
  <c r="M96" i="2"/>
  <c r="DM116" i="1"/>
  <c r="DN116" i="1" s="1"/>
  <c r="DO116" i="1" s="1"/>
  <c r="DP116" i="1" s="1"/>
  <c r="DQ116" i="1" s="1"/>
  <c r="DR116" i="1" s="1"/>
  <c r="DS116" i="1" s="1"/>
  <c r="DT116" i="1" s="1"/>
  <c r="DM121" i="1" l="1"/>
  <c r="DN121" i="1" s="1"/>
  <c r="DO121" i="1" s="1"/>
  <c r="DP121" i="1" s="1"/>
  <c r="DQ121" i="1" s="1"/>
  <c r="DR121" i="1" s="1"/>
  <c r="DS121" i="1" s="1"/>
  <c r="DT121" i="1" s="1"/>
  <c r="DF120" i="1"/>
  <c r="W71" i="2"/>
  <c r="V83" i="2"/>
  <c r="CV124" i="1"/>
  <c r="CQ124" i="1"/>
  <c r="CL129" i="1"/>
  <c r="CL249" i="1"/>
  <c r="M101" i="2"/>
  <c r="U96" i="2"/>
  <c r="CV244" i="1"/>
  <c r="DF243" i="1" s="1"/>
  <c r="CQ244" i="1"/>
  <c r="DM124" i="1" l="1"/>
  <c r="DN124" i="1" s="1"/>
  <c r="DO124" i="1" s="1"/>
  <c r="DP124" i="1" s="1"/>
  <c r="DQ124" i="1" s="1"/>
  <c r="DR124" i="1" s="1"/>
  <c r="DS124" i="1" s="1"/>
  <c r="DT124" i="1" s="1"/>
  <c r="DF123" i="1"/>
  <c r="V96" i="2"/>
  <c r="W96" i="2" s="1"/>
  <c r="U101" i="2"/>
  <c r="V101" i="2" s="1"/>
  <c r="W101" i="2" s="1"/>
  <c r="W83" i="2"/>
  <c r="AW15" i="1" l="1"/>
  <c r="BC15" i="1"/>
  <c r="BI15" i="1"/>
  <c r="BO15" i="1"/>
  <c r="BU15" i="1"/>
  <c r="CA15" i="1"/>
  <c r="CG15" i="1"/>
  <c r="BC99" i="1" l="1"/>
  <c r="BG99" i="1" s="1"/>
  <c r="CX99" i="1" s="1"/>
  <c r="O108" i="2" s="1"/>
  <c r="BC20" i="1"/>
  <c r="BG15" i="1"/>
  <c r="BA99" i="1"/>
  <c r="CW99" i="1" s="1"/>
  <c r="N108" i="2" s="1"/>
  <c r="BA15" i="1"/>
  <c r="AW20" i="1"/>
  <c r="BO99" i="1"/>
  <c r="BS99" i="1" s="1"/>
  <c r="CZ99" i="1" s="1"/>
  <c r="Q108" i="2" s="1"/>
  <c r="BO20" i="1"/>
  <c r="BS15" i="1"/>
  <c r="CG99" i="1"/>
  <c r="CK99" i="1" s="1"/>
  <c r="DC99" i="1" s="1"/>
  <c r="T108" i="2" s="1"/>
  <c r="CG20" i="1"/>
  <c r="CK15" i="1"/>
  <c r="BI99" i="1"/>
  <c r="BM99" i="1" s="1"/>
  <c r="CY99" i="1" s="1"/>
  <c r="P108" i="2" s="1"/>
  <c r="BI20" i="1"/>
  <c r="BM15" i="1"/>
  <c r="CA99" i="1"/>
  <c r="CE99" i="1" s="1"/>
  <c r="DB99" i="1" s="1"/>
  <c r="S108" i="2" s="1"/>
  <c r="CA20" i="1"/>
  <c r="CE15" i="1"/>
  <c r="BU99" i="1"/>
  <c r="BY99" i="1" s="1"/>
  <c r="DA99" i="1" s="1"/>
  <c r="R108" i="2" s="1"/>
  <c r="BY15" i="1"/>
  <c r="BU20" i="1"/>
  <c r="AQ99" i="1"/>
  <c r="CM15" i="1"/>
  <c r="AU15" i="1"/>
  <c r="DA15" i="1" l="1"/>
  <c r="R10" i="2" s="1"/>
  <c r="R15" i="2" s="1"/>
  <c r="BY20" i="1"/>
  <c r="DA20" i="1" s="1"/>
  <c r="CK20" i="1"/>
  <c r="DC20" i="1" s="1"/>
  <c r="DC15" i="1"/>
  <c r="T10" i="2" s="1"/>
  <c r="T15" i="2" s="1"/>
  <c r="CM20" i="1"/>
  <c r="AQ217" i="1"/>
  <c r="AQ97" i="1"/>
  <c r="AQ29" i="1"/>
  <c r="CY15" i="1"/>
  <c r="P10" i="2" s="1"/>
  <c r="P15" i="2" s="1"/>
  <c r="BM20" i="1"/>
  <c r="CY20" i="1" s="1"/>
  <c r="CX15" i="1"/>
  <c r="O10" i="2" s="1"/>
  <c r="O15" i="2" s="1"/>
  <c r="BG20" i="1"/>
  <c r="CX20" i="1" s="1"/>
  <c r="AU99" i="1"/>
  <c r="CM99" i="1"/>
  <c r="DB15" i="1"/>
  <c r="S10" i="2" s="1"/>
  <c r="S15" i="2" s="1"/>
  <c r="CE20" i="1"/>
  <c r="DB20" i="1" s="1"/>
  <c r="BI217" i="1"/>
  <c r="BI29" i="1"/>
  <c r="BI97" i="1"/>
  <c r="AW217" i="1"/>
  <c r="AW97" i="1"/>
  <c r="AW29" i="1"/>
  <c r="BC217" i="1"/>
  <c r="BC29" i="1"/>
  <c r="BC97" i="1"/>
  <c r="BO97" i="1"/>
  <c r="BO29" i="1"/>
  <c r="BO217" i="1"/>
  <c r="CG217" i="1"/>
  <c r="CG97" i="1"/>
  <c r="CG29" i="1"/>
  <c r="CV15" i="1"/>
  <c r="DF14" i="1" s="1"/>
  <c r="AU20" i="1"/>
  <c r="CQ15" i="1"/>
  <c r="BU217" i="1"/>
  <c r="BU97" i="1"/>
  <c r="BU29" i="1"/>
  <c r="CA217" i="1"/>
  <c r="CA29" i="1"/>
  <c r="CA97" i="1"/>
  <c r="CZ15" i="1"/>
  <c r="Q10" i="2" s="1"/>
  <c r="Q15" i="2" s="1"/>
  <c r="BS20" i="1"/>
  <c r="CZ20" i="1" s="1"/>
  <c r="CW15" i="1"/>
  <c r="N10" i="2" s="1"/>
  <c r="N15" i="2" s="1"/>
  <c r="BA20" i="1"/>
  <c r="CW20" i="1" s="1"/>
  <c r="CG105" i="1" l="1"/>
  <c r="CG125" i="1" s="1"/>
  <c r="CK97" i="1"/>
  <c r="BO105" i="1"/>
  <c r="BO125" i="1" s="1"/>
  <c r="BS97" i="1"/>
  <c r="AW30" i="1"/>
  <c r="BA29" i="1"/>
  <c r="BI30" i="1"/>
  <c r="BM29" i="1"/>
  <c r="AQ225" i="1"/>
  <c r="CM217" i="1"/>
  <c r="AU217" i="1"/>
  <c r="CA105" i="1"/>
  <c r="CA125" i="1" s="1"/>
  <c r="CE97" i="1"/>
  <c r="BY97" i="1"/>
  <c r="BU105" i="1"/>
  <c r="BU125" i="1" s="1"/>
  <c r="M10" i="2"/>
  <c r="DM15" i="1"/>
  <c r="DN15" i="1" s="1"/>
  <c r="DO15" i="1" s="1"/>
  <c r="DP15" i="1" s="1"/>
  <c r="DQ15" i="1" s="1"/>
  <c r="DR15" i="1" s="1"/>
  <c r="DS15" i="1" s="1"/>
  <c r="DT15" i="1" s="1"/>
  <c r="BO225" i="1"/>
  <c r="BO245" i="1" s="1"/>
  <c r="BS217" i="1"/>
  <c r="BC30" i="1"/>
  <c r="BG29" i="1"/>
  <c r="AW225" i="1"/>
  <c r="AW245" i="1" s="1"/>
  <c r="BA217" i="1"/>
  <c r="AQ30" i="1"/>
  <c r="CM29" i="1"/>
  <c r="AU29" i="1"/>
  <c r="T85" i="2"/>
  <c r="T49" i="2"/>
  <c r="T43" i="2"/>
  <c r="T92" i="2"/>
  <c r="N49" i="2"/>
  <c r="N43" i="2"/>
  <c r="N92" i="2"/>
  <c r="N85" i="2"/>
  <c r="CA30" i="1"/>
  <c r="CE29" i="1"/>
  <c r="BU225" i="1"/>
  <c r="BU245" i="1" s="1"/>
  <c r="BY217" i="1"/>
  <c r="CK29" i="1"/>
  <c r="CG30" i="1"/>
  <c r="BO30" i="1"/>
  <c r="BS29" i="1"/>
  <c r="BC225" i="1"/>
  <c r="BC245" i="1" s="1"/>
  <c r="BG217" i="1"/>
  <c r="BI105" i="1"/>
  <c r="BI125" i="1" s="1"/>
  <c r="BM97" i="1"/>
  <c r="S49" i="2"/>
  <c r="S85" i="2"/>
  <c r="S92" i="2"/>
  <c r="S43" i="2"/>
  <c r="O49" i="2"/>
  <c r="O43" i="2"/>
  <c r="O92" i="2"/>
  <c r="O85" i="2"/>
  <c r="AQ105" i="1"/>
  <c r="CM97" i="1"/>
  <c r="AU97" i="1"/>
  <c r="CA225" i="1"/>
  <c r="CA245" i="1" s="1"/>
  <c r="CE217" i="1"/>
  <c r="Q92" i="2"/>
  <c r="Q49" i="2"/>
  <c r="Q85" i="2"/>
  <c r="Q43" i="2"/>
  <c r="BU30" i="1"/>
  <c r="BY29" i="1"/>
  <c r="CV20" i="1"/>
  <c r="CQ20" i="1"/>
  <c r="CG225" i="1"/>
  <c r="CG245" i="1" s="1"/>
  <c r="CK217" i="1"/>
  <c r="BC105" i="1"/>
  <c r="BC125" i="1" s="1"/>
  <c r="BG97" i="1"/>
  <c r="AW105" i="1"/>
  <c r="AW125" i="1" s="1"/>
  <c r="BA97" i="1"/>
  <c r="BI225" i="1"/>
  <c r="BI245" i="1" s="1"/>
  <c r="BM217" i="1"/>
  <c r="CV99" i="1"/>
  <c r="DF98" i="1" s="1"/>
  <c r="CQ99" i="1"/>
  <c r="P43" i="2"/>
  <c r="P49" i="2"/>
  <c r="P85" i="2"/>
  <c r="P92" i="2"/>
  <c r="R43" i="2"/>
  <c r="R85" i="2"/>
  <c r="R49" i="2"/>
  <c r="R92" i="2"/>
  <c r="DM20" i="1" l="1"/>
  <c r="DN20" i="1" s="1"/>
  <c r="DO20" i="1" s="1"/>
  <c r="DP20" i="1" s="1"/>
  <c r="DQ20" i="1" s="1"/>
  <c r="DR20" i="1" s="1"/>
  <c r="DS20" i="1" s="1"/>
  <c r="DT20" i="1" s="1"/>
  <c r="DF19" i="1"/>
  <c r="AQ125" i="1"/>
  <c r="CM105" i="1"/>
  <c r="CK30" i="1"/>
  <c r="DC30" i="1" s="1"/>
  <c r="DC29" i="1"/>
  <c r="T115" i="2" s="1"/>
  <c r="T116" i="2" s="1"/>
  <c r="CW217" i="1"/>
  <c r="BA225" i="1"/>
  <c r="CW225" i="1" s="1"/>
  <c r="CZ217" i="1"/>
  <c r="BS225" i="1"/>
  <c r="CZ225" i="1" s="1"/>
  <c r="CQ217" i="1"/>
  <c r="AU225" i="1"/>
  <c r="CV217" i="1"/>
  <c r="DF216" i="1" s="1"/>
  <c r="BO129" i="1"/>
  <c r="BS129" i="1" s="1"/>
  <c r="CZ129" i="1" s="1"/>
  <c r="BS125" i="1"/>
  <c r="CZ125" i="1" s="1"/>
  <c r="BI249" i="1"/>
  <c r="BM249" i="1" s="1"/>
  <c r="CY249" i="1" s="1"/>
  <c r="BM245" i="1"/>
  <c r="CY245" i="1" s="1"/>
  <c r="BS30" i="1"/>
  <c r="CZ30" i="1" s="1"/>
  <c r="CZ29" i="1"/>
  <c r="Q115" i="2" s="1"/>
  <c r="Q116" i="2" s="1"/>
  <c r="DA217" i="1"/>
  <c r="BY225" i="1"/>
  <c r="DA225" i="1" s="1"/>
  <c r="CV29" i="1"/>
  <c r="DF28" i="1" s="1"/>
  <c r="AU30" i="1"/>
  <c r="CQ29" i="1"/>
  <c r="BA245" i="1"/>
  <c r="CW245" i="1" s="1"/>
  <c r="AW249" i="1"/>
  <c r="BA249" i="1" s="1"/>
  <c r="CW249" i="1" s="1"/>
  <c r="BO249" i="1"/>
  <c r="BS249" i="1" s="1"/>
  <c r="CZ249" i="1" s="1"/>
  <c r="BS245" i="1"/>
  <c r="CZ245" i="1" s="1"/>
  <c r="BA30" i="1"/>
  <c r="CW30" i="1" s="1"/>
  <c r="CW29" i="1"/>
  <c r="N115" i="2" s="1"/>
  <c r="N116" i="2" s="1"/>
  <c r="DC97" i="1"/>
  <c r="T106" i="2" s="1"/>
  <c r="T111" i="2" s="1"/>
  <c r="CK105" i="1"/>
  <c r="DC105" i="1" s="1"/>
  <c r="BA105" i="1"/>
  <c r="CW105" i="1" s="1"/>
  <c r="CW97" i="1"/>
  <c r="N106" i="2" s="1"/>
  <c r="N111" i="2" s="1"/>
  <c r="DC217" i="1"/>
  <c r="CK225" i="1"/>
  <c r="DC225" i="1" s="1"/>
  <c r="DA29" i="1"/>
  <c r="R115" i="2" s="1"/>
  <c r="R116" i="2" s="1"/>
  <c r="BY30" i="1"/>
  <c r="DA30" i="1" s="1"/>
  <c r="AU105" i="1"/>
  <c r="CV97" i="1"/>
  <c r="DF96" i="1" s="1"/>
  <c r="CQ97" i="1"/>
  <c r="BM125" i="1"/>
  <c r="CY125" i="1" s="1"/>
  <c r="BI129" i="1"/>
  <c r="BM129" i="1" s="1"/>
  <c r="CY129" i="1" s="1"/>
  <c r="BY245" i="1"/>
  <c r="DA245" i="1" s="1"/>
  <c r="BU249" i="1"/>
  <c r="BY249" i="1" s="1"/>
  <c r="DA249" i="1" s="1"/>
  <c r="CX29" i="1"/>
  <c r="O115" i="2" s="1"/>
  <c r="O116" i="2" s="1"/>
  <c r="BG30" i="1"/>
  <c r="CX30" i="1" s="1"/>
  <c r="DB97" i="1"/>
  <c r="S106" i="2" s="1"/>
  <c r="S111" i="2" s="1"/>
  <c r="CE105" i="1"/>
  <c r="DB105" i="1" s="1"/>
  <c r="CK125" i="1"/>
  <c r="DC125" i="1" s="1"/>
  <c r="CG129" i="1"/>
  <c r="CK129" i="1" s="1"/>
  <c r="DC129" i="1" s="1"/>
  <c r="M108" i="2"/>
  <c r="U108" i="2" s="1"/>
  <c r="DM99" i="1"/>
  <c r="DN99" i="1" s="1"/>
  <c r="DO99" i="1" s="1"/>
  <c r="DP99" i="1" s="1"/>
  <c r="DQ99" i="1" s="1"/>
  <c r="DR99" i="1" s="1"/>
  <c r="DS99" i="1" s="1"/>
  <c r="DT99" i="1" s="1"/>
  <c r="BA125" i="1"/>
  <c r="CW125" i="1" s="1"/>
  <c r="AW129" i="1"/>
  <c r="BA129" i="1" s="1"/>
  <c r="CW129" i="1" s="1"/>
  <c r="CK245" i="1"/>
  <c r="DC245" i="1" s="1"/>
  <c r="CG249" i="1"/>
  <c r="CK249" i="1" s="1"/>
  <c r="DC249" i="1" s="1"/>
  <c r="CX217" i="1"/>
  <c r="BG225" i="1"/>
  <c r="CX225" i="1" s="1"/>
  <c r="CE30" i="1"/>
  <c r="DB30" i="1" s="1"/>
  <c r="DB29" i="1"/>
  <c r="S115" i="2" s="1"/>
  <c r="S116" i="2" s="1"/>
  <c r="CM30" i="1"/>
  <c r="M15" i="2"/>
  <c r="U10" i="2"/>
  <c r="CA129" i="1"/>
  <c r="CE129" i="1" s="1"/>
  <c r="DB129" i="1" s="1"/>
  <c r="CE125" i="1"/>
  <c r="DB125" i="1" s="1"/>
  <c r="CY29" i="1"/>
  <c r="P115" i="2" s="1"/>
  <c r="P116" i="2" s="1"/>
  <c r="BM30" i="1"/>
  <c r="CY30" i="1" s="1"/>
  <c r="BS105" i="1"/>
  <c r="CZ105" i="1" s="1"/>
  <c r="CZ97" i="1"/>
  <c r="Q106" i="2" s="1"/>
  <c r="Q111" i="2" s="1"/>
  <c r="CY217" i="1"/>
  <c r="BM225" i="1"/>
  <c r="CY225" i="1" s="1"/>
  <c r="CX97" i="1"/>
  <c r="O106" i="2" s="1"/>
  <c r="O111" i="2" s="1"/>
  <c r="BG105" i="1"/>
  <c r="CX105" i="1" s="1"/>
  <c r="DB217" i="1"/>
  <c r="CE225" i="1"/>
  <c r="DB225" i="1" s="1"/>
  <c r="BG245" i="1"/>
  <c r="CX245" i="1" s="1"/>
  <c r="BC249" i="1"/>
  <c r="BG249" i="1" s="1"/>
  <c r="CX249" i="1" s="1"/>
  <c r="BY125" i="1"/>
  <c r="DA125" i="1" s="1"/>
  <c r="BU129" i="1"/>
  <c r="BY129" i="1" s="1"/>
  <c r="DA129" i="1" s="1"/>
  <c r="BC129" i="1"/>
  <c r="BG129" i="1" s="1"/>
  <c r="CX129" i="1" s="1"/>
  <c r="BG125" i="1"/>
  <c r="CX125" i="1" s="1"/>
  <c r="CE245" i="1"/>
  <c r="DB245" i="1" s="1"/>
  <c r="CA249" i="1"/>
  <c r="CE249" i="1" s="1"/>
  <c r="DB249" i="1" s="1"/>
  <c r="BM105" i="1"/>
  <c r="CY105" i="1" s="1"/>
  <c r="CY97" i="1"/>
  <c r="P106" i="2" s="1"/>
  <c r="P111" i="2" s="1"/>
  <c r="BY105" i="1"/>
  <c r="DA105" i="1" s="1"/>
  <c r="DA97" i="1"/>
  <c r="R106" i="2" s="1"/>
  <c r="R111" i="2" s="1"/>
  <c r="AQ245" i="1"/>
  <c r="CM225" i="1"/>
  <c r="AU245" i="1" l="1"/>
  <c r="AQ249" i="1"/>
  <c r="CM245" i="1"/>
  <c r="V10" i="2"/>
  <c r="W10" i="2" s="1"/>
  <c r="M106" i="2"/>
  <c r="DM97" i="1"/>
  <c r="DN97" i="1" s="1"/>
  <c r="DO97" i="1" s="1"/>
  <c r="DP97" i="1" s="1"/>
  <c r="DQ97" i="1" s="1"/>
  <c r="DR97" i="1" s="1"/>
  <c r="DS97" i="1" s="1"/>
  <c r="DT97" i="1" s="1"/>
  <c r="CQ225" i="1"/>
  <c r="CV225" i="1"/>
  <c r="DF224" i="1" s="1"/>
  <c r="M49" i="2"/>
  <c r="U15" i="2"/>
  <c r="M43" i="2"/>
  <c r="M85" i="2"/>
  <c r="M92" i="2"/>
  <c r="CQ105" i="1"/>
  <c r="CV105" i="1"/>
  <c r="AU125" i="1"/>
  <c r="AQ129" i="1"/>
  <c r="CM125" i="1"/>
  <c r="M115" i="2"/>
  <c r="DM29" i="1"/>
  <c r="DN29" i="1" s="1"/>
  <c r="DO29" i="1" s="1"/>
  <c r="DP29" i="1" s="1"/>
  <c r="DQ29" i="1" s="1"/>
  <c r="DR29" i="1" s="1"/>
  <c r="DS29" i="1" s="1"/>
  <c r="DT29" i="1" s="1"/>
  <c r="V108" i="2"/>
  <c r="W108" i="2" s="1"/>
  <c r="CV30" i="1"/>
  <c r="CQ30" i="1"/>
  <c r="DM30" i="1" l="1"/>
  <c r="DN30" i="1" s="1"/>
  <c r="DO30" i="1" s="1"/>
  <c r="DP30" i="1" s="1"/>
  <c r="DQ30" i="1" s="1"/>
  <c r="DR30" i="1" s="1"/>
  <c r="DS30" i="1" s="1"/>
  <c r="DT30" i="1" s="1"/>
  <c r="DF29" i="1"/>
  <c r="DM105" i="1"/>
  <c r="DN105" i="1" s="1"/>
  <c r="DO105" i="1" s="1"/>
  <c r="DP105" i="1" s="1"/>
  <c r="DQ105" i="1" s="1"/>
  <c r="DR105" i="1" s="1"/>
  <c r="DS105" i="1" s="1"/>
  <c r="DT105" i="1" s="1"/>
  <c r="DF104" i="1"/>
  <c r="CM129" i="1"/>
  <c r="AU129" i="1"/>
  <c r="U106" i="2"/>
  <c r="M111" i="2"/>
  <c r="CM249" i="1"/>
  <c r="AU249" i="1"/>
  <c r="CV125" i="1"/>
  <c r="CQ125" i="1"/>
  <c r="CV245" i="1"/>
  <c r="DF244" i="1" s="1"/>
  <c r="CQ245" i="1"/>
  <c r="U115" i="2"/>
  <c r="M116" i="2"/>
  <c r="V15" i="2"/>
  <c r="U43" i="2"/>
  <c r="V43" i="2" s="1"/>
  <c r="W43" i="2" s="1"/>
  <c r="U49" i="2"/>
  <c r="V49" i="2" s="1"/>
  <c r="W49" i="2" s="1"/>
  <c r="U85" i="2"/>
  <c r="U92" i="2"/>
  <c r="DM125" i="1" l="1"/>
  <c r="DN125" i="1" s="1"/>
  <c r="DO125" i="1" s="1"/>
  <c r="DP125" i="1" s="1"/>
  <c r="DQ125" i="1" s="1"/>
  <c r="DR125" i="1" s="1"/>
  <c r="DS125" i="1" s="1"/>
  <c r="DT125" i="1" s="1"/>
  <c r="DF124" i="1"/>
  <c r="W15" i="2"/>
  <c r="V85" i="2"/>
  <c r="W85" i="2" s="1"/>
  <c r="V92" i="2"/>
  <c r="W92" i="2" s="1"/>
  <c r="V115" i="2"/>
  <c r="U116" i="2"/>
  <c r="U111" i="2"/>
  <c r="V111" i="2" s="1"/>
  <c r="W111" i="2" s="1"/>
  <c r="V106" i="2"/>
  <c r="W106" i="2" s="1"/>
  <c r="CV249" i="1"/>
  <c r="DF248" i="1" s="1"/>
  <c r="CQ249" i="1"/>
  <c r="CV129" i="1"/>
  <c r="CQ129" i="1"/>
  <c r="DM129" i="1" l="1"/>
  <c r="DN129" i="1" s="1"/>
  <c r="DO129" i="1" s="1"/>
  <c r="DP129" i="1" s="1"/>
  <c r="DQ129" i="1" s="1"/>
  <c r="DR129" i="1" s="1"/>
  <c r="DS129" i="1" s="1"/>
  <c r="DT129" i="1" s="1"/>
  <c r="DF128" i="1"/>
  <c r="V116" i="2"/>
  <c r="W116" i="2" s="1"/>
  <c r="W115" i="2"/>
  <c r="W18" i="10"/>
  <c r="X18" i="10" s="1"/>
  <c r="W24" i="10"/>
  <c r="X24" i="10" s="1"/>
  <c r="W26" i="10"/>
  <c r="W25" i="10"/>
  <c r="X25" i="10" s="1"/>
  <c r="W27" i="10"/>
  <c r="X27" i="10" s="1"/>
  <c r="W28" i="10"/>
  <c r="X28" i="10" s="1"/>
  <c r="W21" i="10"/>
  <c r="W23" i="10"/>
  <c r="X23" i="10" s="1"/>
  <c r="W22" i="10"/>
  <c r="X22" i="10" s="1"/>
  <c r="W19" i="10"/>
  <c r="X19" i="10" s="1"/>
  <c r="W29" i="10"/>
  <c r="X29" i="10" s="1"/>
  <c r="W30" i="10" l="1"/>
  <c r="X21" i="10"/>
  <c r="X30" i="10" l="1"/>
  <c r="W41" i="10"/>
  <c r="V41" i="10"/>
  <c r="V92" i="10" s="1"/>
  <c r="W69" i="10"/>
  <c r="X69" i="10" s="1"/>
  <c r="W71" i="10" l="1"/>
  <c r="X71" i="10" s="1"/>
  <c r="W70" i="10"/>
  <c r="X70" i="10" s="1"/>
</calcChain>
</file>

<file path=xl/comments1.xml><?xml version="1.0" encoding="utf-8"?>
<comments xmlns="http://schemas.openxmlformats.org/spreadsheetml/2006/main">
  <authors>
    <author>Carolina Bertuccio</author>
  </authors>
  <commentList>
    <comment ref="V7" authorId="0">
      <text>
        <r>
          <rPr>
            <b/>
            <sz val="9"/>
            <color indexed="81"/>
            <rFont val="Tahoma"/>
            <family val="2"/>
          </rPr>
          <t>Surge de la suma de la columna YTD ejecutado + mes a mes FCST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65" authorId="0">
      <text>
        <r>
          <rPr>
            <b/>
            <sz val="9"/>
            <color indexed="81"/>
            <rFont val="Tahoma"/>
            <family val="2"/>
          </rPr>
          <t>Surge de la suma de la columna YTD ejecutado + mes a mes FCST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<sst xmlns="http://schemas.openxmlformats.org/spreadsheetml/2006/main" count="3119" uniqueCount="602">
  <si>
    <t>organismo</t>
  </si>
  <si>
    <t>mes_reporte</t>
  </si>
  <si>
    <t>validez_tabla</t>
  </si>
  <si>
    <t>Descripción</t>
  </si>
  <si>
    <t>Grupo Cuenta</t>
  </si>
  <si>
    <t>Cuenta</t>
  </si>
  <si>
    <t>Subcuenta</t>
  </si>
  <si>
    <t>Ejecutado/Proyectado</t>
  </si>
  <si>
    <t>ejecutado total 2016</t>
  </si>
  <si>
    <t>vigente total 2017 F11</t>
  </si>
  <si>
    <t>vigente total 2017 F12</t>
  </si>
  <si>
    <t>vigente total 2017 F13</t>
  </si>
  <si>
    <t>vigente total 2017 F14</t>
  </si>
  <si>
    <t>vigente total 2017 F22</t>
  </si>
  <si>
    <t xml:space="preserve">vigente total 2017 </t>
  </si>
  <si>
    <t xml:space="preserve"> ene 2017 F11</t>
  </si>
  <si>
    <t xml:space="preserve"> ene 2017 F12</t>
  </si>
  <si>
    <t xml:space="preserve"> ene 2017 F13</t>
  </si>
  <si>
    <t xml:space="preserve"> ene 2017 F14</t>
  </si>
  <si>
    <t xml:space="preserve"> ene 2017 F22</t>
  </si>
  <si>
    <t xml:space="preserve"> ene 2017 total</t>
  </si>
  <si>
    <t xml:space="preserve"> feb 2017 F11</t>
  </si>
  <si>
    <t xml:space="preserve"> feb 2017 F12</t>
  </si>
  <si>
    <t xml:space="preserve"> feb 2017 F13</t>
  </si>
  <si>
    <t xml:space="preserve"> feb 2017 F14</t>
  </si>
  <si>
    <t xml:space="preserve"> feb 2017 F22</t>
  </si>
  <si>
    <t xml:space="preserve"> feb 2017 total</t>
  </si>
  <si>
    <t xml:space="preserve"> mar 2017 F11</t>
  </si>
  <si>
    <t xml:space="preserve"> mar 2017 F12</t>
  </si>
  <si>
    <t xml:space="preserve"> mar 2017 F13</t>
  </si>
  <si>
    <t xml:space="preserve"> mar 2017 F14</t>
  </si>
  <si>
    <t xml:space="preserve"> mar 2017 F22</t>
  </si>
  <si>
    <t xml:space="preserve"> mar 2017 total</t>
  </si>
  <si>
    <t xml:space="preserve"> abr 2017 F11</t>
  </si>
  <si>
    <t xml:space="preserve"> abr 2017 F12</t>
  </si>
  <si>
    <t xml:space="preserve"> abr 2017 F13</t>
  </si>
  <si>
    <t xml:space="preserve"> abr 2017 F14</t>
  </si>
  <si>
    <t xml:space="preserve"> abr 2017 F22</t>
  </si>
  <si>
    <t xml:space="preserve"> abr 2017 total</t>
  </si>
  <si>
    <t xml:space="preserve"> may 2017 F11</t>
  </si>
  <si>
    <t xml:space="preserve"> may 2017 F12</t>
  </si>
  <si>
    <t xml:space="preserve"> may 2017 F13</t>
  </si>
  <si>
    <t xml:space="preserve"> may 2017 F14</t>
  </si>
  <si>
    <t xml:space="preserve"> may 2017 F22</t>
  </si>
  <si>
    <t xml:space="preserve"> may 2017 total</t>
  </si>
  <si>
    <t xml:space="preserve"> jun 2017 F11</t>
  </si>
  <si>
    <t xml:space="preserve"> jun 2017 F12</t>
  </si>
  <si>
    <t xml:space="preserve"> jun 2017 F13</t>
  </si>
  <si>
    <t xml:space="preserve"> jun 2017 F14</t>
  </si>
  <si>
    <t xml:space="preserve"> jun 2017 F22</t>
  </si>
  <si>
    <t xml:space="preserve"> jun 2017 total</t>
  </si>
  <si>
    <t xml:space="preserve"> jul 2017 F11</t>
  </si>
  <si>
    <t xml:space="preserve"> jul 2017 F12</t>
  </si>
  <si>
    <t xml:space="preserve"> jul 2017 F13</t>
  </si>
  <si>
    <t xml:space="preserve"> jul 2017 F14</t>
  </si>
  <si>
    <t xml:space="preserve"> jul 2017 F22</t>
  </si>
  <si>
    <t xml:space="preserve"> jul 2017 total</t>
  </si>
  <si>
    <t xml:space="preserve"> ago 2017 F11</t>
  </si>
  <si>
    <t xml:space="preserve"> ago 2017 F12</t>
  </si>
  <si>
    <t xml:space="preserve"> ago 2017 F13</t>
  </si>
  <si>
    <t xml:space="preserve"> ago 2017 F14</t>
  </si>
  <si>
    <t xml:space="preserve"> ago 2017 F22</t>
  </si>
  <si>
    <t xml:space="preserve"> ago 2017 total</t>
  </si>
  <si>
    <t xml:space="preserve"> sep 2017 F11</t>
  </si>
  <si>
    <t xml:space="preserve"> sep 2017 F12</t>
  </si>
  <si>
    <t xml:space="preserve"> sep 2017 F13</t>
  </si>
  <si>
    <t xml:space="preserve"> sep 2017 F14</t>
  </si>
  <si>
    <t xml:space="preserve"> sep 2017 F22</t>
  </si>
  <si>
    <t xml:space="preserve"> sep 2017 total</t>
  </si>
  <si>
    <t xml:space="preserve"> oct 2017 F11</t>
  </si>
  <si>
    <t xml:space="preserve"> oct 2017 F12</t>
  </si>
  <si>
    <t xml:space="preserve"> oct 2017 F13</t>
  </si>
  <si>
    <t xml:space="preserve"> oct 2017 F14</t>
  </si>
  <si>
    <t xml:space="preserve"> oct 2017 F22</t>
  </si>
  <si>
    <t xml:space="preserve"> oct 2017 total</t>
  </si>
  <si>
    <t xml:space="preserve"> nov 2017 F11</t>
  </si>
  <si>
    <t xml:space="preserve"> nov 2017 F12</t>
  </si>
  <si>
    <t xml:space="preserve"> nov 2017 F13</t>
  </si>
  <si>
    <t xml:space="preserve"> nov 2017 F14</t>
  </si>
  <si>
    <t xml:space="preserve"> nov 2017 F22</t>
  </si>
  <si>
    <t xml:space="preserve"> nov 2017 total</t>
  </si>
  <si>
    <t xml:space="preserve"> dic 2017 F11</t>
  </si>
  <si>
    <t xml:space="preserve"> dic 2017 F12</t>
  </si>
  <si>
    <t xml:space="preserve"> dic 2017 F13</t>
  </si>
  <si>
    <t xml:space="preserve"> dic 2017 F14</t>
  </si>
  <si>
    <t xml:space="preserve"> dic 2017 F22</t>
  </si>
  <si>
    <t xml:space="preserve"> dic 2017 total</t>
  </si>
  <si>
    <t xml:space="preserve"> total 2017 F11</t>
  </si>
  <si>
    <t xml:space="preserve"> total 2017 F12</t>
  </si>
  <si>
    <t xml:space="preserve"> total 2017 F13</t>
  </si>
  <si>
    <t xml:space="preserve"> total 2017 F14</t>
  </si>
  <si>
    <t xml:space="preserve"> total 2017 F22</t>
  </si>
  <si>
    <t xml:space="preserve"> total 2017 </t>
  </si>
  <si>
    <t>enero 2017 total</t>
  </si>
  <si>
    <t>febrero 2017 total</t>
  </si>
  <si>
    <t>marzo   2017 total</t>
  </si>
  <si>
    <t>abril 2017 total</t>
  </si>
  <si>
    <t>mayo 2017 total</t>
  </si>
  <si>
    <t>junio 2017 total</t>
  </si>
  <si>
    <t>julio 2017 total</t>
  </si>
  <si>
    <t>agosto 2017 total</t>
  </si>
  <si>
    <t>septiembre 2017 total</t>
  </si>
  <si>
    <t>octubre 2017 total</t>
  </si>
  <si>
    <t>noviembre 2017 total</t>
  </si>
  <si>
    <t>diciembre 2017 total</t>
  </si>
  <si>
    <t>mes actual 
-2</t>
  </si>
  <si>
    <t>mes actual 
-1</t>
  </si>
  <si>
    <t>mes actual</t>
  </si>
  <si>
    <t>no</t>
  </si>
  <si>
    <t>ejecutado</t>
  </si>
  <si>
    <t>vigente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</si>
  <si>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</si>
  <si>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</si>
  <si>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</si>
  <si>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</si>
  <si>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</si>
  <si>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</si>
  <si>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</si>
  <si>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</si>
  <si>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</si>
  <si>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</si>
  <si>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</si>
  <si>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</si>
  <si>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</si>
  <si>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F11, 15 y 22 de tesoro</t>
  </si>
  <si>
    <t>F12</t>
  </si>
  <si>
    <t>F13</t>
  </si>
  <si>
    <t>F14</t>
  </si>
  <si>
    <t>F22 real</t>
  </si>
  <si>
    <t>Mes</t>
  </si>
  <si>
    <t>Ene</t>
  </si>
  <si>
    <t>Entidad</t>
  </si>
  <si>
    <t>Min Transporte</t>
  </si>
  <si>
    <t>Referencia clasif. presupuesto</t>
  </si>
  <si>
    <t>enero 2016
 total</t>
  </si>
  <si>
    <t>febrero 2016
 total</t>
  </si>
  <si>
    <t>marzo   2016 
total</t>
  </si>
  <si>
    <t>abril
 2016
 total</t>
  </si>
  <si>
    <t>mayo
 2016
 total</t>
  </si>
  <si>
    <t>junio
 2016
 total</t>
  </si>
  <si>
    <t>julio
 2016
 total</t>
  </si>
  <si>
    <t>agosto
 2016
 total</t>
  </si>
  <si>
    <t>septiembre
 2016
 total</t>
  </si>
  <si>
    <t>octubre
 2016
 total</t>
  </si>
  <si>
    <t>noviembre
 2016
 total</t>
  </si>
  <si>
    <t>diciembre
 2016
 total</t>
  </si>
  <si>
    <t>enero 2016
 Acum</t>
  </si>
  <si>
    <t>febrero 2016
 Acum</t>
  </si>
  <si>
    <t>marzo   2016 
Acum</t>
  </si>
  <si>
    <t>abril
 2016
 Acum</t>
  </si>
  <si>
    <t>mayo
 2016
 Acum</t>
  </si>
  <si>
    <t>junio
 2016
 Acum</t>
  </si>
  <si>
    <t>julio
 2016
 Acum</t>
  </si>
  <si>
    <t>agosto
 2016
 Acum</t>
  </si>
  <si>
    <t>septiembre
 2016
 Acum</t>
  </si>
  <si>
    <t>octubre
 2016
 Acum</t>
  </si>
  <si>
    <t>noviembre
 2016
 Acum</t>
  </si>
  <si>
    <t>diciembre
 2016
 Acum</t>
  </si>
  <si>
    <t xml:space="preserve">  Ejecutado 2016 / Presupuesto Vigente 2017 / Proyectado 2017</t>
  </si>
  <si>
    <t>Presupuesto vigente 2017</t>
  </si>
  <si>
    <t xml:space="preserve">  Proyectado Anual 2017</t>
  </si>
  <si>
    <t>Remanentes del Ejercicio Anterior</t>
  </si>
  <si>
    <t>Ingresos</t>
  </si>
  <si>
    <t>si</t>
  </si>
  <si>
    <t>14-15</t>
  </si>
  <si>
    <t>Ingresos por Servicios</t>
  </si>
  <si>
    <t>Proyectado</t>
  </si>
  <si>
    <t>Tasas y Aranceles</t>
  </si>
  <si>
    <t>Ingresos Tributarios</t>
  </si>
  <si>
    <t>16.1</t>
  </si>
  <si>
    <t>Intereses</t>
  </si>
  <si>
    <t>Otras Rentas de la Propiedad</t>
  </si>
  <si>
    <t>16.3</t>
  </si>
  <si>
    <t>Total</t>
  </si>
  <si>
    <t>Otros Recursos</t>
  </si>
  <si>
    <t>17.2</t>
  </si>
  <si>
    <t>Transf. del la Adm. Nac. p/Gastos Corrientes</t>
  </si>
  <si>
    <t>22.2</t>
  </si>
  <si>
    <t>Transf. del la Adm. Nac. p/Gastos de Capital</t>
  </si>
  <si>
    <t>17.4</t>
  </si>
  <si>
    <t>Otras Transf. del Est. Nac. p/ Gastos Corrientes</t>
  </si>
  <si>
    <t>22.4</t>
  </si>
  <si>
    <t>Otras Transf. del Est. Nac. p/ Gastos de Capital</t>
  </si>
  <si>
    <t>22.1</t>
  </si>
  <si>
    <t xml:space="preserve">Transf. del Sector Privado </t>
  </si>
  <si>
    <t>Obtención de Préstamos</t>
  </si>
  <si>
    <t>35-38</t>
  </si>
  <si>
    <t>Disminución de activos financieros/ Incremento de Pasivos</t>
  </si>
  <si>
    <t>Disminución de activos financieros</t>
  </si>
  <si>
    <t>Gastos Corrientes</t>
  </si>
  <si>
    <t>Abr</t>
  </si>
  <si>
    <t>Personal</t>
  </si>
  <si>
    <t>Bienes de Consumo</t>
  </si>
  <si>
    <t>Servicios</t>
  </si>
  <si>
    <t>Servicios Básicos</t>
  </si>
  <si>
    <t>Alquileres y Derechos</t>
  </si>
  <si>
    <t>Mantenimiento, Reparación y Limpieza</t>
  </si>
  <si>
    <t>Técnicos y Profesionales</t>
  </si>
  <si>
    <t>Comerciales y Financieros</t>
  </si>
  <si>
    <t>Publicidad y Propaganda</t>
  </si>
  <si>
    <t>Pasajes y Viáticos</t>
  </si>
  <si>
    <t>Impuestos, Derechos, Tasas y Juicios</t>
  </si>
  <si>
    <t>Otros</t>
  </si>
  <si>
    <t>Transferencias Corrientes</t>
  </si>
  <si>
    <t>5.1.9.2294</t>
  </si>
  <si>
    <t>Transferencias al Sector Privado</t>
  </si>
  <si>
    <t>Aerolíneas Argentinas</t>
  </si>
  <si>
    <t>resto 51</t>
  </si>
  <si>
    <t>Resto</t>
  </si>
  <si>
    <t>5.5.2.775</t>
  </si>
  <si>
    <t>Transferencias a Empresas y Otros Entes</t>
  </si>
  <si>
    <t>BCyL</t>
  </si>
  <si>
    <t>5.5.2.777</t>
  </si>
  <si>
    <t>ADIF</t>
  </si>
  <si>
    <t>5.5.2.778</t>
  </si>
  <si>
    <t>SOFSE</t>
  </si>
  <si>
    <t>5.5.4.964</t>
  </si>
  <si>
    <t>Fondo Fiduciario de Infraestructura de Transporte</t>
  </si>
  <si>
    <t>resto 5.5</t>
  </si>
  <si>
    <t>55, econ 21</t>
  </si>
  <si>
    <t>Empresas Públicas y Otros Entes</t>
  </si>
  <si>
    <t>53-56-57-59, econ 21</t>
  </si>
  <si>
    <t>Transferencias</t>
  </si>
  <si>
    <t>Inciso 7, econ 21</t>
  </si>
  <si>
    <t>Servicio de la Deuda</t>
  </si>
  <si>
    <t>Intereses y comisiones</t>
  </si>
  <si>
    <t>Otros Gastos</t>
  </si>
  <si>
    <t>Inciso 8</t>
  </si>
  <si>
    <t>Bienes de Uso</t>
  </si>
  <si>
    <t>41-42</t>
  </si>
  <si>
    <t>Egresos de Capital</t>
  </si>
  <si>
    <t>Obras</t>
  </si>
  <si>
    <t>Maquinarias</t>
  </si>
  <si>
    <t>44 a 48, clas econ 22</t>
  </si>
  <si>
    <t>Otros Bienes de Uso/Gs de Capital</t>
  </si>
  <si>
    <t>Transferencias de Capital</t>
  </si>
  <si>
    <t>5.2.6.2294</t>
  </si>
  <si>
    <t>resto 52</t>
  </si>
  <si>
    <t>Sector Privado</t>
  </si>
  <si>
    <t>5.3.5.604</t>
  </si>
  <si>
    <t>DNV</t>
  </si>
  <si>
    <t>resto 5.3, econ 22</t>
  </si>
  <si>
    <t>53, econ 22</t>
  </si>
  <si>
    <t>Administración Nacional</t>
  </si>
  <si>
    <t>5.5.4.?</t>
  </si>
  <si>
    <t>Fideicomiso ANAC</t>
  </si>
  <si>
    <t>55, econ 22</t>
  </si>
  <si>
    <t>Provincias y Municipios</t>
  </si>
  <si>
    <t>56, 59, econ 22</t>
  </si>
  <si>
    <t>Otras Transferencias</t>
  </si>
  <si>
    <t>Otros Gastos de Capital</t>
  </si>
  <si>
    <t>6.1.2.727</t>
  </si>
  <si>
    <t>Aportes de Capital a Empresa Públicas</t>
  </si>
  <si>
    <t>EANA</t>
  </si>
  <si>
    <t>resto 6.1.2</t>
  </si>
  <si>
    <t>otros</t>
  </si>
  <si>
    <t>Resto Incisos 1-2-3 y 6 clas econ 22</t>
  </si>
  <si>
    <t>Otros Egresos de Capital</t>
  </si>
  <si>
    <t>Total Egresos de Capital</t>
  </si>
  <si>
    <t>Aplicaciones Financieras</t>
  </si>
  <si>
    <t>Incremento de Activos Financieros</t>
  </si>
  <si>
    <t>Cuentas a Cobrar</t>
  </si>
  <si>
    <t>Part 68, SAF 327, Pr oy26, Ob 72 y 73</t>
  </si>
  <si>
    <t>CMEC Obras BCyL</t>
  </si>
  <si>
    <t>Part 68, SAF 327, Proy 26, resto obras</t>
  </si>
  <si>
    <t>CMEC Obras ADIF</t>
  </si>
  <si>
    <t>Resto  68</t>
  </si>
  <si>
    <t>Diferidos y Adelantos a Proveedores y Contratistas resto</t>
  </si>
  <si>
    <t>Diferidos y Adelantos a Proveedores y Contratistas</t>
  </si>
  <si>
    <t>Inciso 7, econ 23</t>
  </si>
  <si>
    <t>Disminución de Otros Pasivos</t>
  </si>
  <si>
    <t>Amortización de deuda</t>
  </si>
  <si>
    <t>Fuente 11, 15 y 22 de tesoro</t>
  </si>
  <si>
    <t>Financiamiento Gastos Corrientes</t>
  </si>
  <si>
    <t>Tesoro y Crédito Interno</t>
  </si>
  <si>
    <t>Recursos Propios</t>
  </si>
  <si>
    <t>Fuente 12</t>
  </si>
  <si>
    <t>Recursos con Afectación Específica</t>
  </si>
  <si>
    <t>Fuente 13</t>
  </si>
  <si>
    <t>Recursos con afectación</t>
  </si>
  <si>
    <t>Fuente 14</t>
  </si>
  <si>
    <t>Fuente 22 real</t>
  </si>
  <si>
    <t>Credito Externo</t>
  </si>
  <si>
    <t xml:space="preserve">Financiamiento Egresos de Capital </t>
  </si>
  <si>
    <t>Financiamiento Aplicaciones Financieras</t>
  </si>
  <si>
    <t>Financiamiento Aplicaciones Financieras - Total</t>
  </si>
  <si>
    <t>Presupuesto Inicial 2017 / Ejecutado 2017</t>
  </si>
  <si>
    <t>Presupuesto inicial 2017</t>
  </si>
  <si>
    <t xml:space="preserve"> Ejecutado mensual 2017</t>
  </si>
  <si>
    <t>Ejecutado</t>
  </si>
  <si>
    <t>Part 68, SAF 327, Pr 26, Ob 72 y 73</t>
  </si>
  <si>
    <t>Part 68, SAF 327, Pr 26, resto obras</t>
  </si>
  <si>
    <t>Unidad de Reporte</t>
  </si>
  <si>
    <t>ADIFSE</t>
  </si>
  <si>
    <t>BCYL</t>
  </si>
  <si>
    <t>ANAC</t>
  </si>
  <si>
    <t>ORSNA</t>
  </si>
  <si>
    <t>Intercargo</t>
  </si>
  <si>
    <t>JIAAC</t>
  </si>
  <si>
    <t>Aerolíneas</t>
  </si>
  <si>
    <t>Subse P y V Nav</t>
  </si>
  <si>
    <t>AGP</t>
  </si>
  <si>
    <t>IAT</t>
  </si>
  <si>
    <t>ASV</t>
  </si>
  <si>
    <t>CNRT</t>
  </si>
  <si>
    <t>Ref.</t>
  </si>
  <si>
    <t>Proyectado 2017</t>
  </si>
  <si>
    <t>16.2</t>
  </si>
  <si>
    <t>Total Ingresos</t>
  </si>
  <si>
    <t>Total Otros Recursos</t>
  </si>
  <si>
    <t>Total Servicios</t>
  </si>
  <si>
    <t xml:space="preserve">Transferencias </t>
  </si>
  <si>
    <t>Resto Inc 5, econ 21</t>
  </si>
  <si>
    <t>Total Transferencias</t>
  </si>
  <si>
    <t>7 econ 21</t>
  </si>
  <si>
    <t>Total Gastos Corrientes</t>
  </si>
  <si>
    <t>Fuentes de Financiamiento Gastos Corrientes</t>
  </si>
  <si>
    <t>Tesoro</t>
  </si>
  <si>
    <t>Recursos con afectación específica</t>
  </si>
  <si>
    <t>Transferencias Internas</t>
  </si>
  <si>
    <t>F22</t>
  </si>
  <si>
    <t>Total Fuentes de Financiamiento Gastos Corrientes</t>
  </si>
  <si>
    <t>Otros bienes de Uso</t>
  </si>
  <si>
    <t>Resto Inc 4</t>
  </si>
  <si>
    <t>Total Bienes de Uso</t>
  </si>
  <si>
    <t>55, Econ 22</t>
  </si>
  <si>
    <t>Resto Inc 5, econ 22</t>
  </si>
  <si>
    <t>F11 + FF 15 + FF 22</t>
  </si>
  <si>
    <t>Incremento de Cuentas a Cobrar</t>
  </si>
  <si>
    <t>Servicios de la Deuda y Disminución de otros Pasivos</t>
  </si>
  <si>
    <t>Total Aplicaciones Financieras</t>
  </si>
  <si>
    <t>Fuentes Financieras</t>
  </si>
  <si>
    <t>Total Fuentes Financieras</t>
  </si>
  <si>
    <t xml:space="preserve"> </t>
  </si>
  <si>
    <t>Feb</t>
  </si>
  <si>
    <t>Mar</t>
  </si>
  <si>
    <t>May</t>
  </si>
  <si>
    <t>Jun</t>
  </si>
  <si>
    <t>Jul</t>
  </si>
  <si>
    <t>Ago</t>
  </si>
  <si>
    <t>Sep</t>
  </si>
  <si>
    <t>Oct</t>
  </si>
  <si>
    <t>Nov</t>
  </si>
  <si>
    <t>Dic</t>
  </si>
  <si>
    <t>Total año</t>
  </si>
  <si>
    <t>PRESUPUESTO VIGENTE 2017</t>
  </si>
  <si>
    <t>Total año proyectado</t>
  </si>
  <si>
    <t>FALTANTE/ SOBRANTE (Proyección - Vigente)</t>
  </si>
  <si>
    <t>Var. Proy. vs CV</t>
  </si>
  <si>
    <t>Cuadro #3</t>
  </si>
  <si>
    <t>Ingresos menos Gastos Corrientes</t>
  </si>
  <si>
    <t>Cuadro #4</t>
  </si>
  <si>
    <t xml:space="preserve">Fuentes de Financiamiento Egresos de Capital </t>
  </si>
  <si>
    <t>Backup: Lists</t>
  </si>
  <si>
    <t>KPIs</t>
  </si>
  <si>
    <t>L1_Lineamientos Estratégicos del Ministerio de Transporte</t>
  </si>
  <si>
    <t>LS1</t>
  </si>
  <si>
    <t>Seguridad</t>
  </si>
  <si>
    <t xml:space="preserve">Garantizar la seguridad de los sistemas de transporte
</t>
  </si>
  <si>
    <t>LS2</t>
  </si>
  <si>
    <t>Crecimiento</t>
  </si>
  <si>
    <t xml:space="preserve">Impulsar crecimiento económico y generar oportunidades de desarrollo
</t>
  </si>
  <si>
    <t>LS3</t>
  </si>
  <si>
    <t>Medio Ambiente</t>
  </si>
  <si>
    <t xml:space="preserve">Promover la sostenibilidad ambiental 
</t>
  </si>
  <si>
    <t>LS4</t>
  </si>
  <si>
    <t>Movilidad</t>
  </si>
  <si>
    <t xml:space="preserve">Asegurar la accesibilidad y movilidad de la población
</t>
  </si>
  <si>
    <t>LS5</t>
  </si>
  <si>
    <t>Modernización</t>
  </si>
  <si>
    <t>L2_Categoría</t>
  </si>
  <si>
    <t>Cat1</t>
  </si>
  <si>
    <t>Gestión</t>
  </si>
  <si>
    <t>Métricas de performance de gestión (específico, medible en el tiempo, alcanzable, relevante)</t>
  </si>
  <si>
    <t>Cat2</t>
  </si>
  <si>
    <t>Del Sector</t>
  </si>
  <si>
    <t>Estadísticas / Benchmark</t>
  </si>
  <si>
    <t>L3_Mes</t>
  </si>
  <si>
    <t>L4_Tipo de Métrica</t>
  </si>
  <si>
    <t>Ac1</t>
  </si>
  <si>
    <t>Acum</t>
  </si>
  <si>
    <t>Ac2</t>
  </si>
  <si>
    <t>Simple</t>
  </si>
  <si>
    <t>L5_Tipo de Comentario</t>
  </si>
  <si>
    <t>TC1</t>
  </si>
  <si>
    <t>Escalación</t>
  </si>
  <si>
    <t>TC2</t>
  </si>
  <si>
    <t>Integración</t>
  </si>
  <si>
    <t>TC3</t>
  </si>
  <si>
    <t>Problema</t>
  </si>
  <si>
    <t>TC4</t>
  </si>
  <si>
    <t>Riesgo</t>
  </si>
  <si>
    <t>L6_Organismos</t>
  </si>
  <si>
    <t>Org1</t>
  </si>
  <si>
    <t>Org2</t>
  </si>
  <si>
    <t>Org3</t>
  </si>
  <si>
    <t>Org4</t>
  </si>
  <si>
    <t>Org5</t>
  </si>
  <si>
    <t>Org6</t>
  </si>
  <si>
    <t>Org7</t>
  </si>
  <si>
    <t>Org8</t>
  </si>
  <si>
    <t>Org9</t>
  </si>
  <si>
    <t>Org10</t>
  </si>
  <si>
    <t>Org11</t>
  </si>
  <si>
    <t>Org12</t>
  </si>
  <si>
    <t>Org13</t>
  </si>
  <si>
    <t>Org14</t>
  </si>
  <si>
    <t>Org15</t>
  </si>
  <si>
    <t>Org16</t>
  </si>
  <si>
    <t>Org17</t>
  </si>
  <si>
    <t>Secretaría de Obras</t>
  </si>
  <si>
    <t>Org18</t>
  </si>
  <si>
    <t>Org19</t>
  </si>
  <si>
    <t>Org20</t>
  </si>
  <si>
    <t>Org21</t>
  </si>
  <si>
    <t>Org22</t>
  </si>
  <si>
    <t>L7_Modal</t>
  </si>
  <si>
    <t>Mod1</t>
  </si>
  <si>
    <t>Ferroviaria</t>
  </si>
  <si>
    <t>Mod2</t>
  </si>
  <si>
    <t>Aerocomercial</t>
  </si>
  <si>
    <t>Mod3</t>
  </si>
  <si>
    <t>Puertos y vias nav.</t>
  </si>
  <si>
    <t>Mod4</t>
  </si>
  <si>
    <t>Vial</t>
  </si>
  <si>
    <t>Mod5</t>
  </si>
  <si>
    <t>Transp. de pasajeros</t>
  </si>
  <si>
    <t>L8_Unidad de Reporte</t>
  </si>
  <si>
    <t>Sociedad</t>
  </si>
  <si>
    <t>Organismo Descentralizado</t>
  </si>
  <si>
    <t>Fideicomiso</t>
  </si>
  <si>
    <t>ARF BCYL</t>
  </si>
  <si>
    <t>Ministerio</t>
  </si>
  <si>
    <t>Secretaria de Coordinación</t>
  </si>
  <si>
    <t>Secretaría de Planificación</t>
  </si>
  <si>
    <t xml:space="preserve">Secretaria de Gestión </t>
  </si>
  <si>
    <t>Secretaría de Comunicación</t>
  </si>
  <si>
    <t>Orsna</t>
  </si>
  <si>
    <t>Fideicomiso ORSNA</t>
  </si>
  <si>
    <t>ARF SOFSE</t>
  </si>
  <si>
    <t>ARF</t>
  </si>
  <si>
    <t>ARF OTROS</t>
  </si>
  <si>
    <t>Fondo Fiduciario de Infraestructura del Transporte</t>
  </si>
  <si>
    <t>Unidad de reporte</t>
  </si>
  <si>
    <t>Org23</t>
  </si>
  <si>
    <t>Org24</t>
  </si>
  <si>
    <t>Org25</t>
  </si>
  <si>
    <t>Org26</t>
  </si>
  <si>
    <t>Org27</t>
  </si>
  <si>
    <t>Incremento de Caja y Bancos</t>
  </si>
  <si>
    <t>Caja y Bancos</t>
  </si>
  <si>
    <t>Incremento de Inversiones Financieras Temporarias</t>
  </si>
  <si>
    <t>Inversiones Financieras Temporarias</t>
  </si>
  <si>
    <t>Inc 7, Econ23</t>
  </si>
  <si>
    <t>Secretaría de Gestion</t>
  </si>
  <si>
    <t>Secretaría de Coordinación</t>
  </si>
  <si>
    <t>Secretaria de Comunicación</t>
  </si>
  <si>
    <t>Pasajes y Viaticos</t>
  </si>
  <si>
    <t>Ingresos y Recursos Corrientes menos Gastos Corrientes</t>
  </si>
  <si>
    <t xml:space="preserve">Valores en  ´000 $ </t>
  </si>
  <si>
    <t>Sociedades</t>
  </si>
  <si>
    <t>Tablero de Control Min. Transp. versión 1/2017</t>
  </si>
  <si>
    <t>Presupuesto Inicial</t>
  </si>
  <si>
    <t>presupuesto inicial</t>
  </si>
  <si>
    <t>calculo 1</t>
  </si>
  <si>
    <t>sin uso1</t>
  </si>
  <si>
    <t>calculos acum 1</t>
  </si>
  <si>
    <t>calculos acum 2</t>
  </si>
  <si>
    <t>calculos acum 3</t>
  </si>
  <si>
    <t>calculos acum 4</t>
  </si>
  <si>
    <t>calculos acum 5</t>
  </si>
  <si>
    <t>calculos acum 6</t>
  </si>
  <si>
    <t>calculos acum 7</t>
  </si>
  <si>
    <t>calculos acum 8</t>
  </si>
  <si>
    <t>calculos acum 9</t>
  </si>
  <si>
    <t>calculos acum 10</t>
  </si>
  <si>
    <t>calculos acum 11</t>
  </si>
  <si>
    <t>calculos acum 12</t>
  </si>
  <si>
    <t>sin uso2</t>
  </si>
  <si>
    <t>Apertura Presupuesto Inicia 2017</t>
  </si>
  <si>
    <t>Total Fuentes de Financiamiento Egresos de Capital</t>
  </si>
  <si>
    <t>Result. Económico (Ingresos - Gs Corrientes - Egs. Capital)</t>
  </si>
  <si>
    <t>Result. Financiero (Rec. Ctes y Capital - Gtos. Ctes - Egs. Capital)</t>
  </si>
  <si>
    <t>Incremento de Activos Diferidos y Ad. a Prov. y Cont.</t>
  </si>
  <si>
    <t>Disminución de activos fin. / Incremento de pasivo</t>
  </si>
  <si>
    <t>Apertura Presupuesto Inicial 2017</t>
  </si>
  <si>
    <t>Filtro Sociedades</t>
  </si>
  <si>
    <t>Proyección recursos empresas</t>
  </si>
  <si>
    <t/>
  </si>
  <si>
    <t>Año 2017</t>
  </si>
  <si>
    <t>Empresa / Fondo</t>
  </si>
  <si>
    <t>Administración de Infraestructuras Ferroviarias S.E.</t>
  </si>
  <si>
    <t>Proyección transferencias devengado</t>
  </si>
  <si>
    <t>Código</t>
  </si>
  <si>
    <t>Fuente de Financiemiento</t>
  </si>
  <si>
    <t>Tipo de recurso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</si>
  <si>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</si>
  <si>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</si>
  <si>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</si>
  <si>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</si>
  <si>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</si>
  <si>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</si>
  <si>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</si>
  <si>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</si>
  <si>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</si>
  <si>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</si>
  <si>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</si>
  <si>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</si>
  <si>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1.1 + 1.5 - Tesoro Nacional y Endeudamiento</t>
  </si>
  <si>
    <t>Transferencias de la Administración Nacional para Gastos Corrientes</t>
  </si>
  <si>
    <t>Transferencias de la Administración Nacional para Gastos de Capital</t>
  </si>
  <si>
    <t>1.1 + 1.5 - Tesoro Nacional y Endeudamiento Total</t>
  </si>
  <si>
    <t>1.4 - Transferencias Internas</t>
  </si>
  <si>
    <t>Transferencias de SIFER para Gastos Corrientes</t>
  </si>
  <si>
    <t>Transferencias de SIFER para Gastos de Capital</t>
  </si>
  <si>
    <t>2.2 - Crédito Externo</t>
  </si>
  <si>
    <t>Transferencias de CMEC</t>
  </si>
  <si>
    <t>2.2 - Crédito Externo Total</t>
  </si>
  <si>
    <t>Administración de Infraestructuras Ferroviarias S.E. Total</t>
  </si>
  <si>
    <t>Presupuesto vigente (a)</t>
  </si>
  <si>
    <t>Modificaciones en trámite (b)</t>
  </si>
  <si>
    <t>Crédito potencial (c = a + b)</t>
  </si>
  <si>
    <t>Transferencias de la Administración Nacional para Gastos de Capital (CAF 7351)</t>
  </si>
  <si>
    <t>1.4 - Transferencias Internas Total</t>
  </si>
  <si>
    <t>Total proyección (d)</t>
  </si>
  <si>
    <t>Faltante (e = a - d)</t>
  </si>
  <si>
    <t>EJERCICIO PRESUPUESTARIO 2017</t>
  </si>
  <si>
    <t>Organismo</t>
  </si>
  <si>
    <t>Orden de Prioridad</t>
  </si>
  <si>
    <t>Nombre Proyecto/Actividad</t>
  </si>
  <si>
    <t>Ubicación Geográfica</t>
  </si>
  <si>
    <t>Monto Real 2017</t>
  </si>
  <si>
    <t xml:space="preserve">Techo 2017 </t>
  </si>
  <si>
    <t>Recursos Propios/ Otros</t>
  </si>
  <si>
    <t>Devengado</t>
  </si>
  <si>
    <t>% Avance de Obra</t>
  </si>
  <si>
    <t>Tesoro (FF11)</t>
  </si>
  <si>
    <t>Credito Externo (FF22)</t>
  </si>
  <si>
    <t>Rec Propios</t>
  </si>
  <si>
    <t>1°</t>
  </si>
  <si>
    <t>Repotenciación Eléctrica Linea Mitre (cableados, aliemntación, tableros, subestaciones, 3° riel, bancos)</t>
  </si>
  <si>
    <t>Repotenciación Eléctrica Linea Sarmiento (cableados, aliemntación, tableros, subestaciones, 3° riel, bancos)</t>
  </si>
  <si>
    <t>Electrificación Linea Roca (Claypole Bosques)</t>
  </si>
  <si>
    <t>2°</t>
  </si>
  <si>
    <t>Plan de Renovación de estaciones Belgrano Norte</t>
  </si>
  <si>
    <t>Remodelación de estaciones</t>
  </si>
  <si>
    <t>Linea Mitre Obras civiles varias</t>
  </si>
  <si>
    <t>Cierres perimetrales, pasarelas, seguridad</t>
  </si>
  <si>
    <t>Plan de Renovaciónd de Estaciones Línea Roca</t>
  </si>
  <si>
    <t>Renovacion estaciones</t>
  </si>
  <si>
    <t>Obras civiles varias Linea San Martin</t>
  </si>
  <si>
    <t>Estación Retiro, Estaciones JC Paz, cerramientos perimetrales</t>
  </si>
  <si>
    <t>Obras civiles varias Linea Sarmiento</t>
  </si>
  <si>
    <t>Cierres perimetrales</t>
  </si>
  <si>
    <t>Señalamiento Línea Mitre</t>
  </si>
  <si>
    <t>Islas se señalamiento AMBA y ramales diesel</t>
  </si>
  <si>
    <t>Señalamiento Línea Sarmiento</t>
  </si>
  <si>
    <t>Señalamiento varias líneas</t>
  </si>
  <si>
    <t xml:space="preserve">Adecuación de señalamiento, barreras automáticas e instalación de ATS a bordo </t>
  </si>
  <si>
    <t>Renovación vias Mitre</t>
  </si>
  <si>
    <t>Corredor Rosario Córdoba</t>
  </si>
  <si>
    <t>Empalme Maldonado Tigre</t>
  </si>
  <si>
    <t>Parrilla Retiro - Empalme Maldonado</t>
  </si>
  <si>
    <t>Renovación vias Belgrano Sur</t>
  </si>
  <si>
    <t>Viaducto Tapiales Bonzi yrenovación Belgrano Sur</t>
  </si>
  <si>
    <t xml:space="preserve">Aparatos de via </t>
  </si>
  <si>
    <t>Mejoramiento de vias Belgrano Cargas Varios</t>
  </si>
  <si>
    <t>Obras varias líneas varias</t>
  </si>
  <si>
    <t>Transferencias de CMEC 30%</t>
  </si>
  <si>
    <t>Transferencias de CMEC 70%</t>
  </si>
  <si>
    <t>Transferencias de CAF</t>
  </si>
  <si>
    <t>Gastos de Capital Proy Belgrano Cargas a gestionar (SOT) su inclusión en crédito CMEC (caso contrario es necesidad que no está cubierta por el Tesoro)</t>
  </si>
  <si>
    <t>P</t>
  </si>
  <si>
    <t>ECONOMICO BASE</t>
  </si>
  <si>
    <t>Suma 2017</t>
  </si>
  <si>
    <t>CAF</t>
  </si>
  <si>
    <t>F11</t>
  </si>
  <si>
    <t>CMEC</t>
  </si>
  <si>
    <t>FINANCIERO (ECONOMICO+60DIAS)</t>
  </si>
  <si>
    <t>F11 logística no BCYL</t>
  </si>
  <si>
    <t>F11 (A CUBRIR POR CMEC)</t>
  </si>
  <si>
    <t>Total AB</t>
  </si>
  <si>
    <t>PROYECCIÓN TABLERO ENERO/17</t>
  </si>
  <si>
    <t>MAY</t>
  </si>
  <si>
    <t>Ene Ejecutado</t>
  </si>
  <si>
    <t>Total año REAL + FORECAST</t>
  </si>
  <si>
    <t>FALTANTE/ SOBRANTE (Real + FCST - Vigente)</t>
  </si>
  <si>
    <t>Total año = REAL + FORECAST</t>
  </si>
  <si>
    <t>Maquinarias 4,3</t>
  </si>
  <si>
    <t>PRESUPUESTO VIGENTE 2018</t>
  </si>
  <si>
    <t>OCT Proyectado</t>
  </si>
  <si>
    <t>NOV Proyectado</t>
  </si>
  <si>
    <t>DIC Proyectado</t>
  </si>
  <si>
    <t>Feb Ejecutado</t>
  </si>
  <si>
    <t>Mar
Ejecutado</t>
  </si>
  <si>
    <t>Abr Ejecutado</t>
  </si>
  <si>
    <t>May Ejecutado</t>
  </si>
  <si>
    <t>Jun Ejecutado</t>
  </si>
  <si>
    <t>Jul   Ejecutado</t>
  </si>
  <si>
    <t>Agosto   Ejecutado</t>
  </si>
  <si>
    <t>Septiembre Ejecutado</t>
  </si>
  <si>
    <t>YTD EJECUTADO (SEP)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</si>
</sst>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_ * #,##0.00_ ;_ * \-#,##0.00_ ;_ * &quot;-&quot;??_ ;_ @_ 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* #,##0_ ;_ * \-#,##0_ ;_ * &quot;-&quot;??_ ;_ @_ "/>
    <numFmt numFmtId="168" formatCode="_(* #,###,_);[Red]_(* \(#,###,\);_(* &quot;-&quot;??_);_(@_)"/>
    <numFmt numFmtId="169" formatCode="_ * #,##0.0_ ;_ * \-#,##0.0_ ;_ * &quot;-&quot;??_ ;_ @_ "/>
    <numFmt numFmtId="170" formatCode="_(* #,##0_);_(* \(#,##0\);_(* &quot;-&quot;??_);_(@_)"/>
    <numFmt numFmtId="171" formatCode="_(&quot;$&quot;* #,_);_(&quot;$&quot;* \(#,##0\);_(&quot;$&quot;* &quot;-&quot;??_);_(@_)"/>
    <numFmt numFmtId="172" formatCode="_-&quot;$&quot;* #,##0_-;\-&quot;$&quot;* #,##0_-;_-&quot;$&quot;* &quot;-&quot;??_-;_-@_-"/>
    <numFmt numFmtId="173" formatCode="0.0,,"/>
    <numFmt numFmtId="174" formatCode="_(* #,###.000000,_);[Red]_(* \(#,###.000000,\);_(* &quot;-&quot;??_);_(@_)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i/>
      <sz val="11"/>
      <color theme="1"/>
      <name val="Century Gothic"/>
      <family val="2"/>
    </font>
    <font>
      <sz val="11"/>
      <name val="Calibri"/>
      <family val="2"/>
      <scheme val="minor"/>
    </font>
    <font>
      <sz val="11"/>
      <name val="Century Gothic"/>
      <family val="2"/>
    </font>
    <font>
      <sz val="9"/>
      <color theme="0" tint="-0.14999847407452621"/>
      <name val="Century Gothic"/>
      <family val="2"/>
    </font>
    <font>
      <sz val="9"/>
      <color theme="1"/>
      <name val="Century Gothic"/>
      <family val="2"/>
    </font>
    <font>
      <i/>
      <sz val="9"/>
      <color theme="1"/>
      <name val="Century Gothic"/>
      <family val="2"/>
    </font>
    <font>
      <sz val="14"/>
      <color theme="1"/>
      <name val="Century Gothic"/>
      <family val="2"/>
    </font>
    <font>
      <b/>
      <sz val="14"/>
      <color theme="5"/>
      <name val="Century Gothic"/>
      <family val="2"/>
    </font>
    <font>
      <b/>
      <sz val="14"/>
      <color rgb="FFFFC000"/>
      <name val="Century Gothic"/>
      <family val="2"/>
    </font>
    <font>
      <b/>
      <i/>
      <sz val="14"/>
      <color theme="5"/>
      <name val="Century Gothic"/>
      <family val="2"/>
    </font>
    <font>
      <b/>
      <sz val="14"/>
      <name val="Century Gothic"/>
      <family val="2"/>
    </font>
    <font>
      <sz val="11"/>
      <color rgb="FFC00000"/>
      <name val="Century Gothic"/>
      <family val="2"/>
    </font>
    <font>
      <i/>
      <sz val="11"/>
      <color rgb="FFC00000"/>
      <name val="Century Gothic"/>
      <family val="2"/>
    </font>
    <font>
      <b/>
      <sz val="11"/>
      <color theme="1"/>
      <name val="Century Gothic"/>
      <family val="2"/>
    </font>
    <font>
      <b/>
      <u/>
      <sz val="11"/>
      <color rgb="FFC00000"/>
      <name val="Century Gothic"/>
      <family val="2"/>
    </font>
    <font>
      <b/>
      <i/>
      <sz val="11"/>
      <color rgb="FFC00000"/>
      <name val="Century Gothic"/>
      <family val="2"/>
    </font>
    <font>
      <b/>
      <sz val="11"/>
      <name val="Century Gothic"/>
      <family val="2"/>
    </font>
    <font>
      <b/>
      <sz val="11"/>
      <color rgb="FFC00000"/>
      <name val="Century Gothic"/>
      <family val="2"/>
    </font>
    <font>
      <b/>
      <i/>
      <sz val="14"/>
      <color rgb="FFFFC000"/>
      <name val="Century Gothic"/>
      <family val="2"/>
    </font>
    <font>
      <sz val="11"/>
      <color theme="6" tint="-0.249977111117893"/>
      <name val="Century Gothic"/>
      <family val="2"/>
    </font>
    <font>
      <i/>
      <sz val="11"/>
      <color theme="6" tint="-0.249977111117893"/>
      <name val="Century Gothic"/>
      <family val="2"/>
    </font>
    <font>
      <b/>
      <u/>
      <sz val="11"/>
      <color theme="6" tint="-0.249977111117893"/>
      <name val="Century Gothic"/>
      <family val="2"/>
    </font>
    <font>
      <b/>
      <i/>
      <sz val="11"/>
      <color theme="6" tint="-0.249977111117893"/>
      <name val="Century Gothic"/>
      <family val="2"/>
    </font>
    <font>
      <b/>
      <sz val="11"/>
      <color theme="6" tint="-0.249977111117893"/>
      <name val="Century Gothic"/>
      <family val="2"/>
    </font>
    <font>
      <b/>
      <sz val="11"/>
      <color theme="6" tint="-0.499984740745262"/>
      <name val="Century Gothic"/>
      <family val="2"/>
    </font>
    <font>
      <b/>
      <i/>
      <sz val="11"/>
      <color theme="6" tint="-0.499984740745262"/>
      <name val="Century Gothic"/>
      <family val="2"/>
    </font>
    <font>
      <b/>
      <sz val="14"/>
      <color rgb="FF00B050"/>
      <name val="Century Gothic"/>
      <family val="2"/>
    </font>
    <font>
      <b/>
      <i/>
      <sz val="14"/>
      <color theme="4" tint="-0.249977111117893"/>
      <name val="Century Gothic"/>
      <family val="2"/>
    </font>
    <font>
      <sz val="11"/>
      <color rgb="FF002060"/>
      <name val="Century Gothic"/>
      <family val="2"/>
    </font>
    <font>
      <i/>
      <sz val="11"/>
      <color rgb="FF002060"/>
      <name val="Century Gothic"/>
      <family val="2"/>
    </font>
    <font>
      <b/>
      <u/>
      <sz val="11"/>
      <color rgb="FF002060"/>
      <name val="Century Gothic"/>
      <family val="2"/>
    </font>
    <font>
      <b/>
      <i/>
      <sz val="11"/>
      <color rgb="FF002060"/>
      <name val="Century Gothic"/>
      <family val="2"/>
    </font>
    <font>
      <b/>
      <sz val="11"/>
      <color rgb="FF002060"/>
      <name val="Century Gothic"/>
      <family val="2"/>
    </font>
    <font>
      <b/>
      <sz val="14"/>
      <color theme="1"/>
      <name val="Century Gothic"/>
      <family val="2"/>
    </font>
    <font>
      <b/>
      <i/>
      <sz val="14"/>
      <color theme="1"/>
      <name val="Century Gothic"/>
      <family val="2"/>
    </font>
    <font>
      <i/>
      <sz val="8"/>
      <color theme="1"/>
      <name val="Century Gothic"/>
      <family val="2"/>
    </font>
    <font>
      <b/>
      <sz val="11"/>
      <color theme="0"/>
      <name val="Century Gothic"/>
      <family val="2"/>
    </font>
    <font>
      <sz val="9"/>
      <color theme="0"/>
      <name val="Century Gothic"/>
      <family val="2"/>
    </font>
    <font>
      <b/>
      <i/>
      <sz val="11"/>
      <color theme="1"/>
      <name val="Century Gothic"/>
      <family val="2"/>
    </font>
    <font>
      <sz val="12"/>
      <color theme="0"/>
      <name val="Century Gothic"/>
      <family val="2"/>
    </font>
    <font>
      <i/>
      <sz val="11"/>
      <name val="Century Gothic"/>
      <family val="2"/>
    </font>
    <font>
      <sz val="11"/>
      <color theme="0"/>
      <name val="Century Gothic"/>
      <family val="2"/>
    </font>
    <font>
      <b/>
      <sz val="9"/>
      <color theme="1"/>
      <name val="Century Gothic"/>
      <family val="2"/>
    </font>
    <font>
      <sz val="9"/>
      <color rgb="FF808080"/>
      <name val="Century Gothic"/>
      <family val="2"/>
    </font>
    <font>
      <b/>
      <sz val="9"/>
      <color rgb="FF000000"/>
      <name val="Century Gothic"/>
      <family val="2"/>
    </font>
    <font>
      <sz val="8"/>
      <color rgb="FF000000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10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333399"/>
      <name val="Calibri"/>
      <family val="2"/>
    </font>
    <font>
      <sz val="10"/>
      <color theme="1"/>
      <name val="Calibri"/>
      <family val="2"/>
    </font>
    <font>
      <sz val="10"/>
      <color rgb="FF003366"/>
      <name val="Calibri"/>
      <family val="2"/>
    </font>
    <font>
      <sz val="10"/>
      <color rgb="FF333366"/>
      <name val="Calibri"/>
      <family val="2"/>
    </font>
    <font>
      <b/>
      <sz val="10"/>
      <color rgb="FF333366"/>
      <name val="Calibri"/>
      <family val="2"/>
    </font>
    <font>
      <b/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rgb="FFFF0000"/>
      <name val="Wingdings 2"/>
      <family val="1"/>
      <charset val="2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7E7F7"/>
      </patternFill>
    </fill>
    <fill>
      <patternFill patternType="solid">
        <fgColor rgb="FFD5D9E2"/>
      </patternFill>
    </fill>
    <fill>
      <patternFill patternType="solid">
        <fgColor rgb="FFF9F9F9"/>
      </patternFill>
    </fill>
    <fill>
      <patternFill patternType="solid">
        <fgColor rgb="FFF3F2EA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theme="3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theme="3"/>
      </right>
      <top/>
      <bottom/>
      <diagonal/>
    </border>
    <border>
      <left/>
      <right style="medium">
        <color theme="3"/>
      </right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medium">
        <color theme="3"/>
      </left>
      <right/>
      <top/>
      <bottom style="medium">
        <color rgb="FF002060"/>
      </bottom>
      <diagonal/>
    </border>
    <border>
      <left/>
      <right/>
      <top style="medium">
        <color rgb="FF002060"/>
      </top>
      <bottom style="medium">
        <color indexed="64"/>
      </bottom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/>
      <bottom/>
      <diagonal/>
    </border>
    <border>
      <left/>
      <right style="thin">
        <color rgb="FF959595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</cellStyleXfs>
  <cellXfs count="553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167" fontId="2" fillId="0" borderId="0" xfId="1" applyNumberFormat="1" applyFont="1" applyFill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protection locked="0"/>
    </xf>
    <xf numFmtId="0" fontId="7" fillId="3" borderId="1" xfId="0" applyFont="1" applyFill="1" applyBorder="1" applyProtection="1">
      <protection locked="0"/>
    </xf>
    <xf numFmtId="168" fontId="2" fillId="0" borderId="0" xfId="1" applyNumberFormat="1" applyFont="1" applyFill="1" applyProtection="1"/>
    <xf numFmtId="0" fontId="2" fillId="0" borderId="0" xfId="0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7" fontId="2" fillId="0" borderId="0" xfId="1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Protection="1"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167" fontId="13" fillId="0" borderId="0" xfId="1" applyNumberFormat="1" applyFont="1" applyFill="1" applyProtection="1">
      <protection locked="0"/>
    </xf>
    <xf numFmtId="0" fontId="13" fillId="0" borderId="0" xfId="0" applyFont="1" applyProtection="1">
      <protection locked="0"/>
    </xf>
    <xf numFmtId="167" fontId="14" fillId="0" borderId="0" xfId="0" applyNumberFormat="1" applyFont="1" applyProtection="1">
      <protection locked="0"/>
    </xf>
    <xf numFmtId="167" fontId="15" fillId="0" borderId="0" xfId="1" applyNumberFormat="1" applyFont="1" applyAlignment="1" applyProtection="1">
      <alignment horizontal="right"/>
      <protection locked="0"/>
    </xf>
    <xf numFmtId="167" fontId="2" fillId="0" borderId="0" xfId="1" applyNumberFormat="1" applyFont="1" applyProtection="1">
      <protection locked="0"/>
    </xf>
    <xf numFmtId="168" fontId="5" fillId="5" borderId="0" xfId="1" applyNumberFormat="1" applyFont="1" applyFill="1"/>
    <xf numFmtId="168" fontId="5" fillId="0" borderId="0" xfId="1" applyNumberFormat="1" applyFont="1" applyFill="1"/>
    <xf numFmtId="168" fontId="5" fillId="0" borderId="0" xfId="1" applyNumberFormat="1" applyFont="1" applyFill="1" applyAlignment="1">
      <alignment horizontal="center"/>
    </xf>
    <xf numFmtId="168" fontId="5" fillId="0" borderId="0" xfId="0" applyNumberFormat="1" applyFont="1" applyFill="1"/>
    <xf numFmtId="168" fontId="5" fillId="0" borderId="0" xfId="0" applyNumberFormat="1" applyFont="1" applyFill="1" applyProtection="1">
      <protection locked="0"/>
    </xf>
    <xf numFmtId="168" fontId="5" fillId="0" borderId="0" xfId="1" applyNumberFormat="1" applyFont="1" applyFill="1" applyProtection="1">
      <protection locked="0"/>
    </xf>
    <xf numFmtId="168" fontId="5" fillId="0" borderId="0" xfId="0" applyNumberFormat="1" applyFont="1" applyProtection="1">
      <protection locked="0"/>
    </xf>
    <xf numFmtId="167" fontId="5" fillId="0" borderId="0" xfId="1" applyNumberFormat="1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167" fontId="16" fillId="0" borderId="0" xfId="1" applyNumberFormat="1" applyFont="1" applyProtection="1">
      <protection locked="0"/>
    </xf>
    <xf numFmtId="168" fontId="19" fillId="0" borderId="0" xfId="1" applyNumberFormat="1" applyFont="1" applyProtection="1">
      <protection locked="0"/>
    </xf>
    <xf numFmtId="168" fontId="19" fillId="0" borderId="0" xfId="1" applyNumberFormat="1" applyFont="1" applyFill="1" applyProtection="1">
      <protection locked="0"/>
    </xf>
    <xf numFmtId="168" fontId="19" fillId="0" borderId="0" xfId="1" applyNumberFormat="1" applyFont="1" applyFill="1" applyAlignment="1" applyProtection="1">
      <alignment horizontal="center"/>
      <protection locked="0"/>
    </xf>
    <xf numFmtId="168" fontId="19" fillId="0" borderId="0" xfId="0" applyNumberFormat="1" applyFont="1" applyProtection="1">
      <protection locked="0"/>
    </xf>
    <xf numFmtId="167" fontId="19" fillId="0" borderId="0" xfId="1" applyNumberFormat="1" applyFont="1" applyFill="1" applyProtection="1">
      <protection locked="0"/>
    </xf>
    <xf numFmtId="0" fontId="19" fillId="0" borderId="0" xfId="0" applyFont="1" applyProtection="1">
      <protection locked="0"/>
    </xf>
    <xf numFmtId="168" fontId="5" fillId="5" borderId="0" xfId="1" applyNumberFormat="1" applyFont="1" applyFill="1" applyProtection="1">
      <protection locked="0"/>
    </xf>
    <xf numFmtId="168" fontId="5" fillId="0" borderId="0" xfId="0" applyNumberFormat="1" applyFont="1"/>
    <xf numFmtId="168" fontId="5" fillId="0" borderId="0" xfId="1" applyNumberFormat="1" applyFont="1" applyProtection="1">
      <protection locked="0"/>
    </xf>
    <xf numFmtId="0" fontId="20" fillId="0" borderId="0" xfId="0" applyFont="1" applyProtection="1">
      <protection locked="0"/>
    </xf>
    <xf numFmtId="168" fontId="19" fillId="0" borderId="0" xfId="1" applyNumberFormat="1" applyFont="1" applyFill="1" applyProtection="1"/>
    <xf numFmtId="168" fontId="19" fillId="0" borderId="0" xfId="1" applyNumberFormat="1" applyFont="1" applyFill="1" applyAlignment="1" applyProtection="1">
      <alignment horizontal="center"/>
    </xf>
    <xf numFmtId="168" fontId="19" fillId="0" borderId="0" xfId="0" applyNumberFormat="1" applyFont="1" applyProtection="1"/>
    <xf numFmtId="168" fontId="2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168" fontId="5" fillId="6" borderId="0" xfId="1" applyNumberFormat="1" applyFont="1" applyFill="1" applyProtection="1">
      <protection locked="0"/>
    </xf>
    <xf numFmtId="167" fontId="14" fillId="0" borderId="0" xfId="0" applyNumberFormat="1" applyFont="1" applyFill="1" applyProtection="1">
      <protection locked="0"/>
    </xf>
    <xf numFmtId="167" fontId="15" fillId="0" borderId="0" xfId="1" applyNumberFormat="1" applyFont="1" applyFill="1" applyAlignment="1" applyProtection="1">
      <alignment horizontal="right"/>
      <protection locked="0"/>
    </xf>
    <xf numFmtId="168" fontId="2" fillId="0" borderId="0" xfId="0" applyNumberFormat="1" applyFont="1" applyFill="1" applyProtection="1">
      <protection locked="0"/>
    </xf>
    <xf numFmtId="0" fontId="17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168" fontId="5" fillId="0" borderId="0" xfId="1" applyNumberFormat="1" applyFont="1" applyFill="1" applyProtection="1"/>
    <xf numFmtId="168" fontId="5" fillId="0" borderId="0" xfId="1" applyNumberFormat="1" applyFont="1" applyFill="1" applyAlignment="1" applyProtection="1">
      <alignment horizontal="center"/>
    </xf>
    <xf numFmtId="168" fontId="5" fillId="0" borderId="0" xfId="0" applyNumberFormat="1" applyFont="1" applyProtection="1"/>
    <xf numFmtId="0" fontId="14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168" fontId="5" fillId="0" borderId="0" xfId="0" applyNumberFormat="1" applyFont="1" applyFill="1" applyProtection="1"/>
    <xf numFmtId="0" fontId="15" fillId="0" borderId="0" xfId="0" applyFont="1" applyFill="1" applyProtection="1">
      <protection locked="0"/>
    </xf>
    <xf numFmtId="0" fontId="15" fillId="0" borderId="0" xfId="0" applyFont="1" applyFill="1" applyAlignment="1" applyProtection="1">
      <alignment horizontal="right"/>
      <protection locked="0"/>
    </xf>
    <xf numFmtId="168" fontId="5" fillId="5" borderId="0" xfId="1" applyNumberFormat="1" applyFont="1" applyFill="1" applyProtection="1"/>
    <xf numFmtId="0" fontId="16" fillId="0" borderId="0" xfId="0" applyFont="1" applyFill="1" applyProtection="1">
      <protection locked="0"/>
    </xf>
    <xf numFmtId="167" fontId="16" fillId="0" borderId="0" xfId="1" applyNumberFormat="1" applyFont="1" applyFill="1" applyProtection="1">
      <protection locked="0"/>
    </xf>
    <xf numFmtId="0" fontId="2" fillId="6" borderId="0" xfId="0" applyFont="1" applyFill="1" applyProtection="1">
      <protection locked="0"/>
    </xf>
    <xf numFmtId="0" fontId="16" fillId="6" borderId="0" xfId="0" applyFont="1" applyFill="1" applyProtection="1">
      <protection locked="0"/>
    </xf>
    <xf numFmtId="0" fontId="18" fillId="6" borderId="0" xfId="0" applyFont="1" applyFill="1" applyProtection="1">
      <protection locked="0"/>
    </xf>
    <xf numFmtId="0" fontId="15" fillId="6" borderId="0" xfId="0" applyFont="1" applyFill="1" applyProtection="1">
      <protection locked="0"/>
    </xf>
    <xf numFmtId="167" fontId="2" fillId="6" borderId="0" xfId="1" applyNumberFormat="1" applyFont="1" applyFill="1" applyProtection="1">
      <protection locked="0"/>
    </xf>
    <xf numFmtId="168" fontId="5" fillId="6" borderId="0" xfId="1" applyNumberFormat="1" applyFont="1" applyFill="1" applyAlignment="1" applyProtection="1">
      <alignment horizontal="center"/>
    </xf>
    <xf numFmtId="168" fontId="5" fillId="6" borderId="0" xfId="0" applyNumberFormat="1" applyFont="1" applyFill="1" applyProtection="1"/>
    <xf numFmtId="168" fontId="5" fillId="6" borderId="0" xfId="0" applyNumberFormat="1" applyFont="1" applyFill="1" applyProtection="1">
      <protection locked="0"/>
    </xf>
    <xf numFmtId="0" fontId="15" fillId="6" borderId="0" xfId="0" applyFont="1" applyFill="1" applyAlignment="1" applyProtection="1">
      <alignment horizontal="right"/>
      <protection locked="0"/>
    </xf>
    <xf numFmtId="168" fontId="19" fillId="0" borderId="0" xfId="0" applyNumberFormat="1" applyFont="1" applyFill="1" applyProtection="1"/>
    <xf numFmtId="17" fontId="18" fillId="0" borderId="0" xfId="0" applyNumberFormat="1" applyFont="1" applyFill="1" applyAlignment="1" applyProtection="1">
      <alignment horizontal="right"/>
      <protection locked="0"/>
    </xf>
    <xf numFmtId="168" fontId="19" fillId="0" borderId="0" xfId="0" applyNumberFormat="1" applyFont="1" applyFill="1" applyProtection="1">
      <protection locked="0"/>
    </xf>
    <xf numFmtId="167" fontId="18" fillId="0" borderId="0" xfId="0" applyNumberFormat="1" applyFont="1" applyProtection="1">
      <protection locked="0"/>
    </xf>
    <xf numFmtId="167" fontId="15" fillId="0" borderId="0" xfId="0" applyNumberFormat="1" applyFont="1" applyProtection="1">
      <protection locked="0"/>
    </xf>
    <xf numFmtId="168" fontId="19" fillId="0" borderId="0" xfId="1" applyNumberFormat="1" applyFont="1" applyFill="1"/>
    <xf numFmtId="168" fontId="19" fillId="0" borderId="0" xfId="0" applyNumberFormat="1" applyFont="1" applyFill="1"/>
    <xf numFmtId="168" fontId="19" fillId="0" borderId="0" xfId="1" applyNumberFormat="1" applyFont="1" applyFill="1" applyAlignment="1">
      <alignment horizontal="center"/>
    </xf>
    <xf numFmtId="0" fontId="20" fillId="0" borderId="2" xfId="0" applyFont="1" applyBorder="1" applyProtection="1">
      <protection locked="0"/>
    </xf>
    <xf numFmtId="0" fontId="18" fillId="0" borderId="2" xfId="0" applyFont="1" applyBorder="1" applyProtection="1">
      <protection locked="0"/>
    </xf>
    <xf numFmtId="167" fontId="16" fillId="0" borderId="2" xfId="1" applyNumberFormat="1" applyFont="1" applyBorder="1" applyProtection="1">
      <protection locked="0"/>
    </xf>
    <xf numFmtId="168" fontId="19" fillId="0" borderId="2" xfId="0" applyNumberFormat="1" applyFont="1" applyBorder="1" applyProtection="1">
      <protection locked="0"/>
    </xf>
    <xf numFmtId="168" fontId="19" fillId="0" borderId="2" xfId="1" applyNumberFormat="1" applyFont="1" applyFill="1" applyBorder="1"/>
    <xf numFmtId="0" fontId="10" fillId="0" borderId="0" xfId="0" applyFont="1" applyFill="1" applyProtection="1">
      <protection locked="0"/>
    </xf>
    <xf numFmtId="0" fontId="11" fillId="7" borderId="2" xfId="0" applyFont="1" applyFill="1" applyBorder="1" applyAlignment="1" applyProtection="1">
      <alignment horizontal="center" vertical="center"/>
      <protection locked="0"/>
    </xf>
    <xf numFmtId="0" fontId="21" fillId="7" borderId="2" xfId="0" applyFont="1" applyFill="1" applyBorder="1" applyAlignment="1" applyProtection="1">
      <alignment horizontal="center" vertical="center"/>
      <protection locked="0"/>
    </xf>
    <xf numFmtId="167" fontId="11" fillId="7" borderId="2" xfId="1" applyNumberFormat="1" applyFont="1" applyFill="1" applyBorder="1" applyProtection="1">
      <protection locked="0"/>
    </xf>
    <xf numFmtId="0" fontId="11" fillId="7" borderId="7" xfId="0" applyFont="1" applyFill="1" applyBorder="1" applyAlignment="1" applyProtection="1">
      <alignment horizontal="center" vertical="center"/>
      <protection locked="0"/>
    </xf>
    <xf numFmtId="0" fontId="11" fillId="7" borderId="8" xfId="0" applyFont="1" applyFill="1" applyBorder="1" applyAlignment="1" applyProtection="1">
      <alignment horizontal="left" vertical="center"/>
      <protection locked="0"/>
    </xf>
    <xf numFmtId="168" fontId="11" fillId="7" borderId="5" xfId="1" applyNumberFormat="1" applyFont="1" applyFill="1" applyBorder="1" applyProtection="1">
      <protection locked="0"/>
    </xf>
    <xf numFmtId="168" fontId="11" fillId="7" borderId="6" xfId="1" applyNumberFormat="1" applyFont="1" applyFill="1" applyBorder="1" applyAlignment="1" applyProtection="1">
      <alignment horizontal="center"/>
    </xf>
    <xf numFmtId="168" fontId="11" fillId="7" borderId="4" xfId="0" applyNumberFormat="1" applyFont="1" applyFill="1" applyBorder="1" applyAlignment="1" applyProtection="1">
      <alignment horizontal="left" vertical="center"/>
      <protection locked="0"/>
    </xf>
    <xf numFmtId="168" fontId="11" fillId="7" borderId="5" xfId="0" applyNumberFormat="1" applyFont="1" applyFill="1" applyBorder="1" applyProtection="1"/>
    <xf numFmtId="168" fontId="11" fillId="7" borderId="4" xfId="0" applyNumberFormat="1" applyFont="1" applyFill="1" applyBorder="1" applyAlignment="1" applyProtection="1">
      <alignment horizontal="left" vertical="center"/>
    </xf>
    <xf numFmtId="168" fontId="11" fillId="7" borderId="5" xfId="1" applyNumberFormat="1" applyFont="1" applyFill="1" applyBorder="1" applyAlignment="1" applyProtection="1">
      <alignment horizontal="center"/>
    </xf>
    <xf numFmtId="168" fontId="13" fillId="0" borderId="0" xfId="1" applyNumberFormat="1" applyFont="1" applyFill="1" applyProtection="1">
      <protection locked="0"/>
    </xf>
    <xf numFmtId="168" fontId="13" fillId="0" borderId="0" xfId="0" applyNumberFormat="1" applyFont="1" applyFill="1" applyProtection="1">
      <protection locked="0"/>
    </xf>
    <xf numFmtId="167" fontId="22" fillId="0" borderId="0" xfId="0" applyNumberFormat="1" applyFont="1" applyProtection="1">
      <protection locked="0"/>
    </xf>
    <xf numFmtId="167" fontId="23" fillId="0" borderId="0" xfId="1" applyNumberFormat="1" applyFont="1" applyAlignment="1" applyProtection="1">
      <alignment horizontal="right"/>
      <protection locked="0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2" fillId="0" borderId="0" xfId="0" applyFont="1" applyProtection="1">
      <protection locked="0"/>
    </xf>
    <xf numFmtId="167" fontId="22" fillId="0" borderId="0" xfId="0" applyNumberFormat="1" applyFont="1" applyFill="1" applyProtection="1">
      <protection locked="0"/>
    </xf>
    <xf numFmtId="167" fontId="23" fillId="0" borderId="0" xfId="1" applyNumberFormat="1" applyFont="1" applyFill="1" applyAlignment="1" applyProtection="1">
      <alignment horizontal="right"/>
      <protection locked="0"/>
    </xf>
    <xf numFmtId="167" fontId="24" fillId="0" borderId="0" xfId="0" applyNumberFormat="1" applyFont="1" applyFill="1" applyProtection="1">
      <protection locked="0"/>
    </xf>
    <xf numFmtId="0" fontId="26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0" fontId="23" fillId="0" borderId="0" xfId="0" applyFont="1" applyFill="1" applyAlignment="1" applyProtection="1">
      <alignment horizontal="right"/>
      <protection locked="0"/>
    </xf>
    <xf numFmtId="0" fontId="25" fillId="6" borderId="0" xfId="0" applyFont="1" applyFill="1" applyProtection="1">
      <protection locked="0"/>
    </xf>
    <xf numFmtId="0" fontId="23" fillId="6" borderId="0" xfId="0" applyFont="1" applyFill="1" applyProtection="1">
      <protection locked="0"/>
    </xf>
    <xf numFmtId="168" fontId="2" fillId="6" borderId="0" xfId="0" applyNumberFormat="1" applyFont="1" applyFill="1" applyProtection="1">
      <protection locked="0"/>
    </xf>
    <xf numFmtId="0" fontId="23" fillId="6" borderId="0" xfId="0" applyFont="1" applyFill="1" applyAlignment="1" applyProtection="1">
      <alignment horizontal="right"/>
      <protection locked="0"/>
    </xf>
    <xf numFmtId="0" fontId="25" fillId="0" borderId="0" xfId="0" applyFont="1" applyFill="1" applyAlignment="1" applyProtection="1">
      <alignment horizontal="right"/>
      <protection locked="0"/>
    </xf>
    <xf numFmtId="17" fontId="25" fillId="0" borderId="0" xfId="0" applyNumberFormat="1" applyFont="1" applyFill="1" applyAlignment="1" applyProtection="1">
      <alignment horizontal="right"/>
      <protection locked="0"/>
    </xf>
    <xf numFmtId="167" fontId="24" fillId="0" borderId="0" xfId="0" applyNumberFormat="1" applyFont="1" applyProtection="1">
      <protection locked="0"/>
    </xf>
    <xf numFmtId="167" fontId="25" fillId="0" borderId="0" xfId="0" applyNumberFormat="1" applyFont="1" applyProtection="1">
      <protection locked="0"/>
    </xf>
    <xf numFmtId="167" fontId="23" fillId="0" borderId="0" xfId="0" applyNumberFormat="1" applyFont="1" applyProtection="1">
      <protection locked="0"/>
    </xf>
    <xf numFmtId="0" fontId="27" fillId="0" borderId="0" xfId="0" applyFont="1" applyProtection="1">
      <protection locked="0"/>
    </xf>
    <xf numFmtId="0" fontId="28" fillId="0" borderId="0" xfId="0" applyFont="1" applyProtection="1">
      <protection locked="0"/>
    </xf>
    <xf numFmtId="168" fontId="5" fillId="0" borderId="0" xfId="0" applyNumberFormat="1" applyFont="1" applyFill="1" applyAlignment="1" applyProtection="1">
      <alignment horizontal="center"/>
      <protection locked="0"/>
    </xf>
    <xf numFmtId="168" fontId="5" fillId="0" borderId="0" xfId="1" applyNumberFormat="1" applyFont="1" applyFill="1" applyAlignment="1" applyProtection="1">
      <alignment horizontal="center"/>
      <protection locked="0"/>
    </xf>
    <xf numFmtId="0" fontId="11" fillId="9" borderId="4" xfId="0" applyFont="1" applyFill="1" applyBorder="1" applyAlignment="1" applyProtection="1">
      <alignment horizontal="left" vertical="center"/>
      <protection locked="0"/>
    </xf>
    <xf numFmtId="0" fontId="30" fillId="9" borderId="5" xfId="0" applyFont="1" applyFill="1" applyBorder="1" applyAlignment="1" applyProtection="1">
      <alignment horizontal="center" vertical="center"/>
      <protection locked="0"/>
    </xf>
    <xf numFmtId="0" fontId="29" fillId="9" borderId="5" xfId="0" applyFont="1" applyFill="1" applyBorder="1" applyAlignment="1" applyProtection="1">
      <alignment vertical="center"/>
      <protection locked="0"/>
    </xf>
    <xf numFmtId="0" fontId="29" fillId="9" borderId="5" xfId="0" applyFont="1" applyFill="1" applyBorder="1" applyProtection="1">
      <protection locked="0"/>
    </xf>
    <xf numFmtId="0" fontId="13" fillId="9" borderId="5" xfId="0" applyFont="1" applyFill="1" applyBorder="1" applyAlignment="1" applyProtection="1">
      <alignment horizontal="center" wrapText="1"/>
      <protection locked="0"/>
    </xf>
    <xf numFmtId="0" fontId="11" fillId="9" borderId="5" xfId="0" applyFont="1" applyFill="1" applyBorder="1" applyAlignment="1" applyProtection="1">
      <alignment horizontal="left" vertical="center"/>
      <protection locked="0"/>
    </xf>
    <xf numFmtId="0" fontId="11" fillId="9" borderId="5" xfId="0" applyFont="1" applyFill="1" applyBorder="1" applyAlignment="1" applyProtection="1">
      <alignment horizontal="center" wrapText="1"/>
      <protection locked="0"/>
    </xf>
    <xf numFmtId="0" fontId="11" fillId="9" borderId="6" xfId="0" applyFont="1" applyFill="1" applyBorder="1" applyAlignment="1" applyProtection="1">
      <alignment horizontal="center" wrapText="1"/>
      <protection locked="0"/>
    </xf>
    <xf numFmtId="0" fontId="13" fillId="0" borderId="0" xfId="0" applyFont="1" applyFill="1" applyBorder="1" applyAlignment="1" applyProtection="1">
      <alignment horizontal="center" wrapText="1"/>
      <protection locked="0"/>
    </xf>
    <xf numFmtId="167" fontId="31" fillId="0" borderId="0" xfId="0" applyNumberFormat="1" applyFont="1" applyProtection="1">
      <protection locked="0"/>
    </xf>
    <xf numFmtId="167" fontId="32" fillId="0" borderId="0" xfId="1" applyNumberFormat="1" applyFont="1" applyAlignment="1" applyProtection="1">
      <alignment horizontal="right"/>
      <protection locked="0"/>
    </xf>
    <xf numFmtId="0" fontId="33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31" fillId="0" borderId="0" xfId="0" applyFont="1" applyProtection="1">
      <protection locked="0"/>
    </xf>
    <xf numFmtId="167" fontId="31" fillId="0" borderId="0" xfId="0" applyNumberFormat="1" applyFont="1" applyFill="1" applyProtection="1">
      <protection locked="0"/>
    </xf>
    <xf numFmtId="167" fontId="32" fillId="0" borderId="0" xfId="1" applyNumberFormat="1" applyFont="1" applyFill="1" applyAlignment="1" applyProtection="1">
      <alignment horizontal="right"/>
      <protection locked="0"/>
    </xf>
    <xf numFmtId="167" fontId="33" fillId="0" borderId="0" xfId="0" applyNumberFormat="1" applyFont="1" applyFill="1" applyProtection="1">
      <protection locked="0"/>
    </xf>
    <xf numFmtId="0" fontId="35" fillId="0" borderId="0" xfId="0" applyFont="1" applyFill="1" applyProtection="1">
      <protection locked="0"/>
    </xf>
    <xf numFmtId="0" fontId="31" fillId="0" borderId="0" xfId="0" applyFont="1" applyFill="1" applyProtection="1">
      <protection locked="0"/>
    </xf>
    <xf numFmtId="0" fontId="33" fillId="0" borderId="0" xfId="0" applyFont="1" applyFill="1" applyProtection="1">
      <protection locked="0"/>
    </xf>
    <xf numFmtId="0" fontId="34" fillId="0" borderId="0" xfId="0" applyFont="1" applyFill="1" applyProtection="1">
      <protection locked="0"/>
    </xf>
    <xf numFmtId="0" fontId="32" fillId="0" borderId="0" xfId="0" applyFont="1" applyFill="1" applyProtection="1">
      <protection locked="0"/>
    </xf>
    <xf numFmtId="0" fontId="32" fillId="0" borderId="0" xfId="0" applyFont="1" applyFill="1" applyAlignment="1" applyProtection="1">
      <alignment horizontal="right"/>
      <protection locked="0"/>
    </xf>
    <xf numFmtId="0" fontId="34" fillId="6" borderId="0" xfId="0" applyFont="1" applyFill="1" applyProtection="1">
      <protection locked="0"/>
    </xf>
    <xf numFmtId="0" fontId="32" fillId="6" borderId="0" xfId="0" applyFont="1" applyFill="1" applyProtection="1">
      <protection locked="0"/>
    </xf>
    <xf numFmtId="0" fontId="31" fillId="6" borderId="0" xfId="0" applyFont="1" applyFill="1" applyProtection="1">
      <protection locked="0"/>
    </xf>
    <xf numFmtId="0" fontId="32" fillId="6" borderId="0" xfId="0" applyFont="1" applyFill="1" applyAlignment="1" applyProtection="1">
      <alignment horizontal="right"/>
      <protection locked="0"/>
    </xf>
    <xf numFmtId="17" fontId="34" fillId="0" borderId="0" xfId="0" applyNumberFormat="1" applyFont="1" applyFill="1" applyAlignment="1" applyProtection="1">
      <alignment horizontal="right"/>
      <protection locked="0"/>
    </xf>
    <xf numFmtId="167" fontId="33" fillId="0" borderId="0" xfId="0" applyNumberFormat="1" applyFont="1" applyProtection="1">
      <protection locked="0"/>
    </xf>
    <xf numFmtId="167" fontId="34" fillId="0" borderId="0" xfId="0" applyNumberFormat="1" applyFont="1" applyProtection="1">
      <protection locked="0"/>
    </xf>
    <xf numFmtId="167" fontId="32" fillId="0" borderId="0" xfId="0" applyNumberFormat="1" applyFont="1" applyProtection="1">
      <protection locked="0"/>
    </xf>
    <xf numFmtId="0" fontId="36" fillId="10" borderId="0" xfId="0" applyFont="1" applyFill="1"/>
    <xf numFmtId="0" fontId="36" fillId="0" borderId="0" xfId="0" applyFont="1"/>
    <xf numFmtId="0" fontId="36" fillId="0" borderId="9" xfId="0" applyFont="1" applyBorder="1"/>
    <xf numFmtId="0" fontId="36" fillId="0" borderId="10" xfId="0" applyFont="1" applyBorder="1"/>
    <xf numFmtId="0" fontId="37" fillId="0" borderId="10" xfId="0" applyFont="1" applyBorder="1" applyAlignment="1">
      <alignment horizontal="right"/>
    </xf>
    <xf numFmtId="9" fontId="36" fillId="0" borderId="10" xfId="2" applyFont="1" applyBorder="1" applyAlignment="1">
      <alignment horizontal="center"/>
    </xf>
    <xf numFmtId="0" fontId="36" fillId="0" borderId="11" xfId="0" applyFont="1" applyBorder="1"/>
    <xf numFmtId="0" fontId="2" fillId="10" borderId="0" xfId="0" applyFont="1" applyFill="1"/>
    <xf numFmtId="0" fontId="2" fillId="0" borderId="12" xfId="0" applyFont="1" applyBorder="1"/>
    <xf numFmtId="0" fontId="7" fillId="0" borderId="1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9" fontId="2" fillId="0" borderId="0" xfId="2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/>
    <xf numFmtId="0" fontId="2" fillId="0" borderId="0" xfId="0" applyFont="1"/>
    <xf numFmtId="0" fontId="7" fillId="0" borderId="1" xfId="0" applyFont="1" applyBorder="1"/>
    <xf numFmtId="0" fontId="7" fillId="0" borderId="0" xfId="0" applyFont="1" applyBorder="1"/>
    <xf numFmtId="0" fontId="3" fillId="0" borderId="0" xfId="0" applyFont="1" applyBorder="1" applyAlignment="1">
      <alignment horizontal="center"/>
    </xf>
    <xf numFmtId="0" fontId="39" fillId="2" borderId="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2" fillId="10" borderId="0" xfId="0" applyFont="1" applyFill="1" applyBorder="1" applyAlignment="1">
      <alignment horizontal="center" wrapText="1"/>
    </xf>
    <xf numFmtId="0" fontId="40" fillId="11" borderId="0" xfId="0" applyFont="1" applyFill="1" applyAlignment="1" applyProtection="1">
      <alignment vertical="center"/>
      <protection locked="0"/>
    </xf>
    <xf numFmtId="167" fontId="2" fillId="10" borderId="0" xfId="1" applyNumberFormat="1" applyFont="1" applyFill="1"/>
    <xf numFmtId="167" fontId="2" fillId="0" borderId="12" xfId="1" applyNumberFormat="1" applyFont="1" applyBorder="1"/>
    <xf numFmtId="167" fontId="2" fillId="0" borderId="0" xfId="1" applyNumberFormat="1" applyFont="1" applyBorder="1"/>
    <xf numFmtId="167" fontId="3" fillId="0" borderId="0" xfId="1" applyNumberFormat="1" applyFont="1" applyBorder="1" applyAlignment="1">
      <alignment horizontal="right"/>
    </xf>
    <xf numFmtId="168" fontId="2" fillId="0" borderId="0" xfId="1" applyNumberFormat="1" applyFont="1" applyBorder="1"/>
    <xf numFmtId="167" fontId="2" fillId="0" borderId="14" xfId="1" applyNumberFormat="1" applyFont="1" applyBorder="1"/>
    <xf numFmtId="167" fontId="2" fillId="0" borderId="0" xfId="1" applyNumberFormat="1" applyFont="1"/>
    <xf numFmtId="9" fontId="2" fillId="0" borderId="0" xfId="2" applyFont="1" applyBorder="1"/>
    <xf numFmtId="168" fontId="2" fillId="0" borderId="2" xfId="1" applyNumberFormat="1" applyFont="1" applyBorder="1"/>
    <xf numFmtId="167" fontId="16" fillId="10" borderId="0" xfId="1" applyNumberFormat="1" applyFont="1" applyFill="1"/>
    <xf numFmtId="167" fontId="16" fillId="0" borderId="12" xfId="1" applyNumberFormat="1" applyFont="1" applyBorder="1"/>
    <xf numFmtId="167" fontId="16" fillId="0" borderId="0" xfId="1" applyNumberFormat="1" applyFont="1" applyBorder="1"/>
    <xf numFmtId="168" fontId="16" fillId="0" borderId="15" xfId="1" applyNumberFormat="1" applyFont="1" applyBorder="1"/>
    <xf numFmtId="9" fontId="16" fillId="0" borderId="0" xfId="2" applyFont="1" applyBorder="1"/>
    <xf numFmtId="167" fontId="16" fillId="0" borderId="0" xfId="1" applyNumberFormat="1" applyFont="1"/>
    <xf numFmtId="168" fontId="2" fillId="0" borderId="15" xfId="1" applyNumberFormat="1" applyFont="1" applyBorder="1"/>
    <xf numFmtId="168" fontId="16" fillId="0" borderId="0" xfId="1" applyNumberFormat="1" applyFont="1" applyBorder="1"/>
    <xf numFmtId="167" fontId="41" fillId="0" borderId="0" xfId="1" applyNumberFormat="1" applyFont="1" applyBorder="1" applyAlignment="1">
      <alignment horizontal="right"/>
    </xf>
    <xf numFmtId="168" fontId="2" fillId="0" borderId="0" xfId="1" applyNumberFormat="1" applyFont="1" applyFill="1" applyBorder="1"/>
    <xf numFmtId="167" fontId="16" fillId="0" borderId="14" xfId="1" applyNumberFormat="1" applyFont="1" applyBorder="1"/>
    <xf numFmtId="167" fontId="16" fillId="0" borderId="17" xfId="1" applyNumberFormat="1" applyFont="1" applyBorder="1"/>
    <xf numFmtId="167" fontId="2" fillId="0" borderId="17" xfId="1" applyNumberFormat="1" applyFont="1" applyBorder="1"/>
    <xf numFmtId="167" fontId="16" fillId="10" borderId="0" xfId="1" applyNumberFormat="1" applyFont="1" applyFill="1" applyBorder="1"/>
    <xf numFmtId="167" fontId="2" fillId="10" borderId="0" xfId="1" applyNumberFormat="1" applyFont="1" applyFill="1" applyBorder="1"/>
    <xf numFmtId="167" fontId="2" fillId="0" borderId="9" xfId="1" applyNumberFormat="1" applyFont="1" applyBorder="1"/>
    <xf numFmtId="167" fontId="2" fillId="0" borderId="10" xfId="1" applyNumberFormat="1" applyFont="1" applyBorder="1"/>
    <xf numFmtId="167" fontId="3" fillId="0" borderId="10" xfId="1" applyNumberFormat="1" applyFont="1" applyBorder="1" applyAlignment="1">
      <alignment horizontal="right"/>
    </xf>
    <xf numFmtId="168" fontId="2" fillId="0" borderId="10" xfId="1" applyNumberFormat="1" applyFont="1" applyBorder="1"/>
    <xf numFmtId="9" fontId="2" fillId="0" borderId="10" xfId="2" applyFont="1" applyBorder="1" applyAlignment="1">
      <alignment horizontal="center"/>
    </xf>
    <xf numFmtId="167" fontId="2" fillId="0" borderId="10" xfId="1" applyNumberFormat="1" applyFont="1" applyBorder="1" applyAlignment="1">
      <alignment horizontal="center"/>
    </xf>
    <xf numFmtId="167" fontId="2" fillId="0" borderId="11" xfId="1" applyNumberFormat="1" applyFont="1" applyBorder="1"/>
    <xf numFmtId="167" fontId="2" fillId="4" borderId="0" xfId="1" applyNumberFormat="1" applyFont="1" applyFill="1" applyBorder="1"/>
    <xf numFmtId="167" fontId="3" fillId="0" borderId="0" xfId="1" applyNumberFormat="1" applyFont="1" applyBorder="1"/>
    <xf numFmtId="167" fontId="16" fillId="0" borderId="5" xfId="1" applyNumberFormat="1" applyFont="1" applyBorder="1"/>
    <xf numFmtId="167" fontId="16" fillId="0" borderId="15" xfId="1" applyNumberFormat="1" applyFont="1" applyBorder="1"/>
    <xf numFmtId="167" fontId="2" fillId="0" borderId="16" xfId="1" applyNumberFormat="1" applyFont="1" applyBorder="1"/>
    <xf numFmtId="167" fontId="2" fillId="0" borderId="17" xfId="1" applyNumberFormat="1" applyFont="1" applyBorder="1" applyAlignment="1">
      <alignment horizontal="center"/>
    </xf>
    <xf numFmtId="167" fontId="2" fillId="0" borderId="18" xfId="1" applyNumberFormat="1" applyFont="1" applyBorder="1"/>
    <xf numFmtId="167" fontId="3" fillId="10" borderId="0" xfId="1" applyNumberFormat="1" applyFont="1" applyFill="1" applyAlignment="1">
      <alignment horizontal="right"/>
    </xf>
    <xf numFmtId="9" fontId="2" fillId="10" borderId="0" xfId="2" applyFont="1" applyFill="1" applyAlignment="1">
      <alignment horizontal="center"/>
    </xf>
    <xf numFmtId="167" fontId="2" fillId="10" borderId="0" xfId="1" applyNumberFormat="1" applyFont="1" applyFill="1" applyAlignment="1">
      <alignment horizontal="center"/>
    </xf>
    <xf numFmtId="167" fontId="3" fillId="0" borderId="0" xfId="1" applyNumberFormat="1" applyFont="1" applyAlignment="1">
      <alignment horizontal="right"/>
    </xf>
    <xf numFmtId="9" fontId="2" fillId="0" borderId="0" xfId="2" applyFont="1" applyAlignment="1">
      <alignment horizontal="center"/>
    </xf>
    <xf numFmtId="0" fontId="37" fillId="0" borderId="10" xfId="0" applyNumberFormat="1" applyFont="1" applyBorder="1" applyAlignment="1">
      <alignment horizontal="right"/>
    </xf>
    <xf numFmtId="0" fontId="42" fillId="6" borderId="10" xfId="0" applyFont="1" applyFill="1" applyBorder="1"/>
    <xf numFmtId="0" fontId="36" fillId="10" borderId="0" xfId="0" applyFont="1" applyFill="1" applyBorder="1"/>
    <xf numFmtId="0" fontId="43" fillId="0" borderId="0" xfId="0" applyFont="1" applyFill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0" fontId="44" fillId="6" borderId="0" xfId="0" applyFont="1" applyFill="1" applyBorder="1"/>
    <xf numFmtId="0" fontId="2" fillId="0" borderId="19" xfId="0" applyFont="1" applyBorder="1"/>
    <xf numFmtId="0" fontId="2" fillId="10" borderId="2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39" fillId="2" borderId="0" xfId="0" applyNumberFormat="1" applyFont="1" applyFill="1" applyBorder="1" applyAlignment="1">
      <alignment horizontal="center" vertical="center" wrapText="1"/>
    </xf>
    <xf numFmtId="0" fontId="2" fillId="10" borderId="0" xfId="0" applyFont="1" applyFill="1" applyBorder="1"/>
    <xf numFmtId="9" fontId="2" fillId="0" borderId="0" xfId="2" applyFont="1" applyBorder="1" applyAlignment="1">
      <alignment horizontal="right"/>
    </xf>
    <xf numFmtId="9" fontId="3" fillId="0" borderId="0" xfId="2" applyFont="1" applyBorder="1" applyAlignment="1">
      <alignment horizontal="right"/>
    </xf>
    <xf numFmtId="0" fontId="16" fillId="0" borderId="14" xfId="0" applyFont="1" applyBorder="1"/>
    <xf numFmtId="167" fontId="41" fillId="0" borderId="5" xfId="1" applyNumberFormat="1" applyFont="1" applyBorder="1" applyAlignment="1">
      <alignment horizontal="right"/>
    </xf>
    <xf numFmtId="167" fontId="41" fillId="0" borderId="15" xfId="1" applyNumberFormat="1" applyFont="1" applyBorder="1" applyAlignment="1">
      <alignment horizontal="right"/>
    </xf>
    <xf numFmtId="167" fontId="16" fillId="0" borderId="0" xfId="1" applyNumberFormat="1" applyFont="1" applyBorder="1" applyAlignment="1">
      <alignment horizontal="right"/>
    </xf>
    <xf numFmtId="9" fontId="16" fillId="0" borderId="0" xfId="2" applyFont="1" applyBorder="1" applyAlignment="1">
      <alignment horizontal="right"/>
    </xf>
    <xf numFmtId="167" fontId="3" fillId="0" borderId="17" xfId="1" applyNumberFormat="1" applyFont="1" applyBorder="1" applyAlignment="1">
      <alignment horizontal="right"/>
    </xf>
    <xf numFmtId="168" fontId="2" fillId="0" borderId="17" xfId="1" applyNumberFormat="1" applyFont="1" applyBorder="1"/>
    <xf numFmtId="167" fontId="3" fillId="10" borderId="0" xfId="1" applyNumberFormat="1" applyFont="1" applyFill="1" applyBorder="1" applyAlignment="1">
      <alignment horizontal="right"/>
    </xf>
    <xf numFmtId="168" fontId="2" fillId="10" borderId="0" xfId="1" applyNumberFormat="1" applyFont="1" applyFill="1" applyBorder="1"/>
    <xf numFmtId="167" fontId="2" fillId="0" borderId="19" xfId="1" applyNumberFormat="1" applyFont="1" applyBorder="1"/>
    <xf numFmtId="168" fontId="39" fillId="2" borderId="0" xfId="0" applyNumberFormat="1" applyFont="1" applyFill="1" applyBorder="1" applyAlignment="1">
      <alignment horizontal="center" vertical="center" wrapText="1"/>
    </xf>
    <xf numFmtId="167" fontId="2" fillId="0" borderId="15" xfId="1" applyNumberFormat="1" applyFont="1" applyBorder="1"/>
    <xf numFmtId="0" fontId="5" fillId="0" borderId="0" xfId="0" applyFont="1" applyBorder="1" applyProtection="1">
      <protection locked="0"/>
    </xf>
    <xf numFmtId="167" fontId="2" fillId="0" borderId="16" xfId="1" applyNumberFormat="1" applyFont="1" applyFill="1" applyBorder="1"/>
    <xf numFmtId="167" fontId="2" fillId="0" borderId="17" xfId="1" applyNumberFormat="1" applyFont="1" applyFill="1" applyBorder="1"/>
    <xf numFmtId="167" fontId="3" fillId="0" borderId="17" xfId="1" applyNumberFormat="1" applyFont="1" applyFill="1" applyBorder="1" applyAlignment="1">
      <alignment horizontal="right"/>
    </xf>
    <xf numFmtId="0" fontId="3" fillId="0" borderId="17" xfId="1" applyNumberFormat="1" applyFont="1" applyFill="1" applyBorder="1" applyAlignment="1">
      <alignment horizontal="right"/>
    </xf>
    <xf numFmtId="167" fontId="2" fillId="0" borderId="18" xfId="1" applyNumberFormat="1" applyFont="1" applyFill="1" applyBorder="1"/>
    <xf numFmtId="0" fontId="3" fillId="10" borderId="0" xfId="1" applyNumberFormat="1" applyFont="1" applyFill="1" applyAlignment="1">
      <alignment horizontal="right"/>
    </xf>
    <xf numFmtId="0" fontId="3" fillId="0" borderId="0" xfId="1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right"/>
    </xf>
    <xf numFmtId="15" fontId="7" fillId="0" borderId="0" xfId="0" applyNumberFormat="1" applyFont="1"/>
    <xf numFmtId="15" fontId="45" fillId="0" borderId="2" xfId="0" applyNumberFormat="1" applyFont="1" applyBorder="1"/>
    <xf numFmtId="15" fontId="7" fillId="0" borderId="2" xfId="0" applyNumberFormat="1" applyFont="1" applyBorder="1"/>
    <xf numFmtId="15" fontId="46" fillId="0" borderId="2" xfId="0" applyNumberFormat="1" applyFont="1" applyBorder="1" applyAlignment="1">
      <alignment horizontal="right"/>
    </xf>
    <xf numFmtId="15" fontId="47" fillId="12" borderId="0" xfId="0" applyNumberFormat="1" applyFont="1" applyFill="1" applyAlignment="1">
      <alignment horizontal="left" vertical="center"/>
    </xf>
    <xf numFmtId="15" fontId="48" fillId="0" borderId="0" xfId="0" applyNumberFormat="1" applyFont="1"/>
    <xf numFmtId="15" fontId="49" fillId="0" borderId="0" xfId="0" applyNumberFormat="1" applyFont="1"/>
    <xf numFmtId="15" fontId="50" fillId="0" borderId="0" xfId="0" applyNumberFormat="1" applyFont="1" applyAlignment="1">
      <alignment wrapText="1"/>
    </xf>
    <xf numFmtId="15" fontId="48" fillId="0" borderId="0" xfId="0" applyNumberFormat="1" applyFont="1" applyAlignment="1"/>
    <xf numFmtId="15" fontId="50" fillId="0" borderId="0" xfId="0" applyNumberFormat="1" applyFont="1"/>
    <xf numFmtId="15" fontId="48" fillId="0" borderId="0" xfId="0" applyNumberFormat="1" applyFont="1" applyAlignment="1">
      <alignment horizontal="left"/>
    </xf>
    <xf numFmtId="15" fontId="51" fillId="12" borderId="0" xfId="0" applyNumberFormat="1" applyFont="1" applyFill="1" applyAlignment="1">
      <alignment horizontal="left" vertical="center"/>
    </xf>
    <xf numFmtId="15" fontId="52" fillId="0" borderId="0" xfId="0" applyNumberFormat="1" applyFont="1"/>
    <xf numFmtId="15" fontId="53" fillId="0" borderId="0" xfId="0" applyNumberFormat="1" applyFont="1"/>
    <xf numFmtId="15" fontId="54" fillId="0" borderId="0" xfId="0" applyNumberFormat="1" applyFont="1" applyAlignment="1">
      <alignment wrapText="1"/>
    </xf>
    <xf numFmtId="15" fontId="0" fillId="0" borderId="0" xfId="0" applyNumberFormat="1"/>
    <xf numFmtId="15" fontId="55" fillId="0" borderId="0" xfId="0" applyNumberFormat="1" applyFont="1"/>
    <xf numFmtId="0" fontId="6" fillId="2" borderId="0" xfId="0" applyFont="1" applyFill="1" applyBorder="1" applyAlignment="1">
      <alignment horizontal="left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11" fillId="13" borderId="2" xfId="0" applyFont="1" applyFill="1" applyBorder="1" applyAlignment="1" applyProtection="1">
      <alignment horizontal="left" vertical="center"/>
      <protection locked="0"/>
    </xf>
    <xf numFmtId="0" fontId="12" fillId="13" borderId="2" xfId="0" applyFont="1" applyFill="1" applyBorder="1" applyAlignment="1" applyProtection="1">
      <alignment horizontal="center" vertical="center"/>
      <protection locked="0"/>
    </xf>
    <xf numFmtId="0" fontId="10" fillId="13" borderId="2" xfId="0" applyFont="1" applyFill="1" applyBorder="1" applyAlignment="1" applyProtection="1">
      <alignment vertical="center"/>
      <protection locked="0"/>
    </xf>
    <xf numFmtId="0" fontId="10" fillId="13" borderId="2" xfId="0" applyFont="1" applyFill="1" applyBorder="1" applyProtection="1">
      <protection locked="0"/>
    </xf>
    <xf numFmtId="0" fontId="11" fillId="13" borderId="3" xfId="0" applyFont="1" applyFill="1" applyBorder="1" applyAlignment="1" applyProtection="1">
      <alignment horizontal="center" vertical="center" wrapText="1"/>
      <protection locked="0"/>
    </xf>
    <xf numFmtId="0" fontId="11" fillId="13" borderId="4" xfId="0" applyFont="1" applyFill="1" applyBorder="1" applyAlignment="1" applyProtection="1">
      <alignment horizontal="left" vertical="center"/>
      <protection locked="0"/>
    </xf>
    <xf numFmtId="0" fontId="11" fillId="13" borderId="5" xfId="0" applyFont="1" applyFill="1" applyBorder="1" applyAlignment="1" applyProtection="1">
      <alignment horizontal="center" wrapText="1"/>
      <protection locked="0"/>
    </xf>
    <xf numFmtId="0" fontId="11" fillId="13" borderId="6" xfId="0" applyFont="1" applyFill="1" applyBorder="1" applyAlignment="1" applyProtection="1">
      <alignment horizontal="center" wrapText="1"/>
      <protection locked="0"/>
    </xf>
    <xf numFmtId="0" fontId="13" fillId="13" borderId="5" xfId="0" applyFont="1" applyFill="1" applyBorder="1" applyAlignment="1" applyProtection="1">
      <alignment horizontal="center" wrapText="1"/>
      <protection locked="0"/>
    </xf>
    <xf numFmtId="0" fontId="13" fillId="13" borderId="6" xfId="0" applyFont="1" applyFill="1" applyBorder="1" applyAlignment="1" applyProtection="1">
      <alignment horizontal="center" wrapText="1"/>
      <protection locked="0"/>
    </xf>
    <xf numFmtId="167" fontId="16" fillId="4" borderId="0" xfId="1" applyNumberFormat="1" applyFont="1" applyFill="1" applyBorder="1"/>
    <xf numFmtId="167" fontId="41" fillId="4" borderId="0" xfId="1" applyNumberFormat="1" applyFont="1" applyFill="1" applyBorder="1" applyAlignment="1">
      <alignment horizontal="right"/>
    </xf>
    <xf numFmtId="168" fontId="16" fillId="4" borderId="15" xfId="1" applyNumberFormat="1" applyFont="1" applyFill="1" applyBorder="1"/>
    <xf numFmtId="167" fontId="3" fillId="0" borderId="15" xfId="1" applyNumberFormat="1" applyFont="1" applyBorder="1" applyAlignment="1">
      <alignment horizontal="right"/>
    </xf>
    <xf numFmtId="167" fontId="2" fillId="0" borderId="24" xfId="1" applyNumberFormat="1" applyFont="1" applyBorder="1"/>
    <xf numFmtId="167" fontId="3" fillId="0" borderId="24" xfId="1" applyNumberFormat="1" applyFont="1" applyBorder="1" applyAlignment="1">
      <alignment horizontal="right"/>
    </xf>
    <xf numFmtId="0" fontId="19" fillId="0" borderId="0" xfId="0" applyFont="1" applyBorder="1" applyProtection="1">
      <protection locked="0"/>
    </xf>
    <xf numFmtId="167" fontId="16" fillId="0" borderId="25" xfId="1" applyNumberFormat="1" applyFont="1" applyBorder="1"/>
    <xf numFmtId="0" fontId="2" fillId="0" borderId="23" xfId="0" applyFont="1" applyBorder="1"/>
    <xf numFmtId="167" fontId="5" fillId="0" borderId="0" xfId="1" applyNumberFormat="1" applyFont="1" applyFill="1" applyProtection="1">
      <protection locked="0"/>
    </xf>
    <xf numFmtId="0" fontId="0" fillId="0" borderId="0" xfId="0" applyFill="1"/>
    <xf numFmtId="168" fontId="16" fillId="4" borderId="5" xfId="1" applyNumberFormat="1" applyFont="1" applyFill="1" applyBorder="1"/>
    <xf numFmtId="169" fontId="3" fillId="0" borderId="0" xfId="1" applyNumberFormat="1" applyFont="1" applyBorder="1" applyAlignment="1">
      <alignment horizontal="right"/>
    </xf>
    <xf numFmtId="167" fontId="41" fillId="0" borderId="0" xfId="1" applyNumberFormat="1" applyFont="1" applyBorder="1"/>
    <xf numFmtId="0" fontId="6" fillId="2" borderId="0" xfId="0" applyFont="1" applyFill="1" applyBorder="1" applyAlignment="1">
      <alignment horizontal="left"/>
    </xf>
    <xf numFmtId="0" fontId="8" fillId="14" borderId="0" xfId="0" applyFont="1" applyFill="1" applyBorder="1" applyAlignment="1" applyProtection="1">
      <protection locked="0"/>
    </xf>
    <xf numFmtId="167" fontId="16" fillId="4" borderId="0" xfId="1" applyNumberFormat="1" applyFont="1" applyFill="1" applyBorder="1" applyAlignment="1">
      <alignment horizontal="right"/>
    </xf>
    <xf numFmtId="168" fontId="16" fillId="4" borderId="0" xfId="1" applyNumberFormat="1" applyFont="1" applyFill="1" applyBorder="1"/>
    <xf numFmtId="0" fontId="19" fillId="4" borderId="0" xfId="0" applyFont="1" applyFill="1" applyBorder="1" applyProtection="1">
      <protection locked="0"/>
    </xf>
    <xf numFmtId="0" fontId="8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9" fontId="2" fillId="0" borderId="0" xfId="2" applyFont="1" applyFill="1" applyBorder="1" applyAlignment="1">
      <alignment horizontal="center"/>
    </xf>
    <xf numFmtId="9" fontId="2" fillId="0" borderId="21" xfId="2" applyFont="1" applyBorder="1" applyAlignment="1">
      <alignment horizontal="center" wrapText="1"/>
    </xf>
    <xf numFmtId="9" fontId="39" fillId="2" borderId="0" xfId="2" applyFont="1" applyFill="1" applyBorder="1" applyAlignment="1">
      <alignment horizontal="center" vertical="center" wrapText="1"/>
    </xf>
    <xf numFmtId="9" fontId="2" fillId="0" borderId="17" xfId="2" applyFont="1" applyBorder="1" applyAlignment="1">
      <alignment horizontal="center"/>
    </xf>
    <xf numFmtId="9" fontId="2" fillId="10" borderId="0" xfId="2" applyFont="1" applyFill="1" applyBorder="1" applyAlignment="1">
      <alignment horizontal="center"/>
    </xf>
    <xf numFmtId="9" fontId="2" fillId="0" borderId="17" xfId="2" applyFont="1" applyFill="1" applyBorder="1" applyAlignment="1">
      <alignment horizontal="center"/>
    </xf>
    <xf numFmtId="9" fontId="0" fillId="0" borderId="0" xfId="2" applyFont="1"/>
    <xf numFmtId="9" fontId="2" fillId="4" borderId="0" xfId="2" applyFont="1" applyFill="1" applyBorder="1" applyAlignment="1">
      <alignment horizontal="right"/>
    </xf>
    <xf numFmtId="9" fontId="2" fillId="0" borderId="15" xfId="2" applyFont="1" applyBorder="1" applyAlignment="1">
      <alignment horizontal="right"/>
    </xf>
    <xf numFmtId="9" fontId="2" fillId="0" borderId="24" xfId="2" applyFont="1" applyBorder="1" applyAlignment="1">
      <alignment horizontal="right"/>
    </xf>
    <xf numFmtId="9" fontId="1" fillId="0" borderId="0" xfId="2" applyFont="1"/>
    <xf numFmtId="167" fontId="50" fillId="0" borderId="17" xfId="1" applyNumberFormat="1" applyFont="1" applyBorder="1"/>
    <xf numFmtId="167" fontId="50" fillId="10" borderId="0" xfId="1" applyNumberFormat="1" applyFont="1" applyFill="1"/>
    <xf numFmtId="167" fontId="50" fillId="0" borderId="10" xfId="1" applyNumberFormat="1" applyFont="1" applyBorder="1"/>
    <xf numFmtId="168" fontId="2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0" fillId="15" borderId="1" xfId="0" applyFill="1" applyBorder="1" applyAlignment="1">
      <alignment horizontal="center"/>
    </xf>
    <xf numFmtId="0" fontId="56" fillId="15" borderId="1" xfId="0" applyFont="1" applyFill="1" applyBorder="1" applyAlignment="1">
      <alignment horizontal="center"/>
    </xf>
    <xf numFmtId="168" fontId="16" fillId="0" borderId="15" xfId="1" applyNumberFormat="1" applyFont="1" applyBorder="1" applyAlignment="1">
      <alignment horizontal="right"/>
    </xf>
    <xf numFmtId="0" fontId="0" fillId="0" borderId="0" xfId="0" applyBorder="1"/>
    <xf numFmtId="171" fontId="38" fillId="0" borderId="10" xfId="4" applyNumberFormat="1" applyFont="1" applyBorder="1"/>
    <xf numFmtId="171" fontId="36" fillId="0" borderId="10" xfId="4" applyNumberFormat="1" applyFont="1" applyBorder="1"/>
    <xf numFmtId="171" fontId="38" fillId="14" borderId="0" xfId="4" applyNumberFormat="1" applyFont="1" applyFill="1" applyBorder="1"/>
    <xf numFmtId="171" fontId="44" fillId="14" borderId="0" xfId="4" applyNumberFormat="1" applyFont="1" applyFill="1" applyBorder="1"/>
    <xf numFmtId="171" fontId="2" fillId="0" borderId="0" xfId="4" applyNumberFormat="1" applyFont="1" applyBorder="1" applyAlignment="1">
      <alignment horizontal="center"/>
    </xf>
    <xf numFmtId="171" fontId="2" fillId="0" borderId="0" xfId="4" applyNumberFormat="1" applyFont="1" applyFill="1" applyBorder="1" applyAlignment="1">
      <alignment horizontal="center"/>
    </xf>
    <xf numFmtId="171" fontId="2" fillId="0" borderId="1" xfId="4" applyNumberFormat="1" applyFont="1" applyBorder="1" applyAlignment="1">
      <alignment horizontal="center" wrapText="1"/>
    </xf>
    <xf numFmtId="171" fontId="39" fillId="2" borderId="0" xfId="4" applyNumberFormat="1" applyFont="1" applyFill="1" applyBorder="1" applyAlignment="1">
      <alignment horizontal="center" vertical="center" wrapText="1"/>
    </xf>
    <xf numFmtId="171" fontId="2" fillId="0" borderId="0" xfId="4" applyNumberFormat="1" applyFont="1" applyBorder="1"/>
    <xf numFmtId="171" fontId="2" fillId="0" borderId="17" xfId="4" applyNumberFormat="1" applyFont="1" applyBorder="1"/>
    <xf numFmtId="171" fontId="2" fillId="10" borderId="0" xfId="4" applyNumberFormat="1" applyFont="1" applyFill="1" applyBorder="1"/>
    <xf numFmtId="171" fontId="2" fillId="0" borderId="10" xfId="4" applyNumberFormat="1" applyFont="1" applyBorder="1"/>
    <xf numFmtId="171" fontId="2" fillId="0" borderId="17" xfId="4" applyNumberFormat="1" applyFont="1" applyFill="1" applyBorder="1"/>
    <xf numFmtId="171" fontId="2" fillId="10" borderId="0" xfId="4" applyNumberFormat="1" applyFont="1" applyFill="1"/>
    <xf numFmtId="171" fontId="2" fillId="0" borderId="0" xfId="4" applyNumberFormat="1" applyFont="1"/>
    <xf numFmtId="171" fontId="0" fillId="0" borderId="0" xfId="4" applyNumberFormat="1" applyFont="1"/>
    <xf numFmtId="9" fontId="16" fillId="0" borderId="17" xfId="2" applyFont="1" applyBorder="1"/>
    <xf numFmtId="168" fontId="3" fillId="0" borderId="0" xfId="4" applyNumberFormat="1" applyFont="1" applyBorder="1" applyAlignment="1">
      <alignment horizontal="right"/>
    </xf>
    <xf numFmtId="168" fontId="2" fillId="0" borderId="0" xfId="4" applyNumberFormat="1" applyFont="1" applyBorder="1" applyAlignment="1">
      <alignment horizontal="right"/>
    </xf>
    <xf numFmtId="168" fontId="2" fillId="0" borderId="0" xfId="4" applyNumberFormat="1" applyFont="1" applyBorder="1"/>
    <xf numFmtId="168" fontId="16" fillId="0" borderId="15" xfId="4" applyNumberFormat="1" applyFont="1" applyBorder="1" applyAlignment="1">
      <alignment horizontal="right"/>
    </xf>
    <xf numFmtId="168" fontId="16" fillId="0" borderId="15" xfId="4" applyNumberFormat="1" applyFont="1" applyBorder="1"/>
    <xf numFmtId="168" fontId="16" fillId="0" borderId="0" xfId="4" applyNumberFormat="1" applyFont="1" applyBorder="1"/>
    <xf numFmtId="168" fontId="16" fillId="4" borderId="0" xfId="4" applyNumberFormat="1" applyFont="1" applyFill="1" applyBorder="1"/>
    <xf numFmtId="168" fontId="41" fillId="0" borderId="0" xfId="1" applyNumberFormat="1" applyFont="1" applyBorder="1" applyAlignment="1">
      <alignment horizontal="right"/>
    </xf>
    <xf numFmtId="168" fontId="3" fillId="0" borderId="24" xfId="1" applyNumberFormat="1" applyFont="1" applyBorder="1" applyAlignment="1">
      <alignment horizontal="right"/>
    </xf>
    <xf numFmtId="168" fontId="3" fillId="0" borderId="24" xfId="4" applyNumberFormat="1" applyFont="1" applyBorder="1" applyAlignment="1">
      <alignment horizontal="right"/>
    </xf>
    <xf numFmtId="168" fontId="16" fillId="0" borderId="24" xfId="4" applyNumberFormat="1" applyFont="1" applyBorder="1"/>
    <xf numFmtId="168" fontId="2" fillId="0" borderId="2" xfId="4" applyNumberFormat="1" applyFont="1" applyBorder="1"/>
    <xf numFmtId="168" fontId="2" fillId="0" borderId="15" xfId="4" applyNumberFormat="1" applyFont="1" applyBorder="1"/>
    <xf numFmtId="167" fontId="2" fillId="6" borderId="0" xfId="1" applyNumberFormat="1" applyFont="1" applyFill="1" applyBorder="1"/>
    <xf numFmtId="0" fontId="0" fillId="6" borderId="0" xfId="0" applyFill="1"/>
    <xf numFmtId="167" fontId="2" fillId="10" borderId="26" xfId="1" applyNumberFormat="1" applyFont="1" applyFill="1" applyBorder="1"/>
    <xf numFmtId="168" fontId="16" fillId="0" borderId="2" xfId="1" applyNumberFormat="1" applyFont="1" applyBorder="1"/>
    <xf numFmtId="168" fontId="16" fillId="0" borderId="2" xfId="4" applyNumberFormat="1" applyFont="1" applyBorder="1"/>
    <xf numFmtId="9" fontId="2" fillId="0" borderId="2" xfId="2" applyFont="1" applyBorder="1" applyAlignment="1">
      <alignment horizontal="right"/>
    </xf>
    <xf numFmtId="9" fontId="2" fillId="4" borderId="15" xfId="2" applyFont="1" applyFill="1" applyBorder="1" applyAlignment="1">
      <alignment horizontal="right"/>
    </xf>
    <xf numFmtId="9" fontId="2" fillId="4" borderId="5" xfId="2" applyFont="1" applyFill="1" applyBorder="1" applyAlignment="1">
      <alignment horizontal="right"/>
    </xf>
    <xf numFmtId="168" fontId="16" fillId="4" borderId="15" xfId="4" applyNumberFormat="1" applyFont="1" applyFill="1" applyBorder="1"/>
    <xf numFmtId="167" fontId="2" fillId="0" borderId="0" xfId="1" applyNumberFormat="1" applyFont="1" applyFill="1" applyBorder="1"/>
    <xf numFmtId="0" fontId="7" fillId="0" borderId="1" xfId="0" applyFont="1" applyFill="1" applyBorder="1" applyProtection="1">
      <protection locked="0"/>
    </xf>
    <xf numFmtId="3" fontId="58" fillId="0" borderId="0" xfId="5" applyNumberFormat="1"/>
    <xf numFmtId="3" fontId="0" fillId="0" borderId="0" xfId="0" applyNumberFormat="1"/>
    <xf numFmtId="3" fontId="61" fillId="16" borderId="0" xfId="5" applyNumberFormat="1" applyFont="1" applyFill="1" applyAlignment="1">
      <alignment horizontal="left" vertical="top" wrapText="1"/>
    </xf>
    <xf numFmtId="3" fontId="60" fillId="17" borderId="28" xfId="5" applyNumberFormat="1" applyFont="1" applyFill="1" applyBorder="1" applyAlignment="1">
      <alignment horizontal="right" vertical="top" wrapText="1"/>
    </xf>
    <xf numFmtId="3" fontId="60" fillId="17" borderId="1" xfId="5" applyNumberFormat="1" applyFont="1" applyFill="1" applyBorder="1" applyAlignment="1">
      <alignment horizontal="left" vertical="top" wrapText="1"/>
    </xf>
    <xf numFmtId="3" fontId="60" fillId="17" borderId="1" xfId="5" applyNumberFormat="1" applyFont="1" applyFill="1" applyBorder="1" applyAlignment="1">
      <alignment horizontal="center" vertical="top" wrapText="1"/>
    </xf>
    <xf numFmtId="3" fontId="61" fillId="16" borderId="1" xfId="5" applyNumberFormat="1" applyFont="1" applyFill="1" applyBorder="1" applyAlignment="1">
      <alignment horizontal="left" vertical="top" wrapText="1"/>
    </xf>
    <xf numFmtId="3" fontId="60" fillId="18" borderId="1" xfId="5" applyNumberFormat="1" applyFont="1" applyFill="1" applyBorder="1" applyAlignment="1">
      <alignment horizontal="left" vertical="top" wrapText="1"/>
    </xf>
    <xf numFmtId="3" fontId="60" fillId="0" borderId="1" xfId="5" applyNumberFormat="1" applyFont="1" applyBorder="1" applyAlignment="1">
      <alignment horizontal="right" vertical="top" wrapText="1"/>
    </xf>
    <xf numFmtId="3" fontId="64" fillId="0" borderId="1" xfId="5" applyNumberFormat="1" applyFont="1" applyBorder="1" applyAlignment="1">
      <alignment horizontal="right" vertical="top" wrapText="1"/>
    </xf>
    <xf numFmtId="3" fontId="64" fillId="8" borderId="1" xfId="5" applyNumberFormat="1" applyFont="1" applyFill="1" applyBorder="1" applyAlignment="1">
      <alignment horizontal="right" vertical="top" wrapText="1"/>
    </xf>
    <xf numFmtId="0" fontId="65" fillId="20" borderId="39" xfId="0" applyFont="1" applyFill="1" applyBorder="1" applyAlignment="1">
      <alignment horizontal="center"/>
    </xf>
    <xf numFmtId="0" fontId="65" fillId="20" borderId="43" xfId="0" applyFont="1" applyFill="1" applyBorder="1" applyAlignment="1">
      <alignment horizontal="center"/>
    </xf>
    <xf numFmtId="0" fontId="65" fillId="20" borderId="44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3" xfId="0" applyBorder="1"/>
    <xf numFmtId="0" fontId="0" fillId="0" borderId="33" xfId="0" applyBorder="1" applyAlignment="1">
      <alignment horizontal="left"/>
    </xf>
    <xf numFmtId="172" fontId="0" fillId="0" borderId="33" xfId="4" applyNumberFormat="1" applyFont="1" applyBorder="1" applyAlignment="1">
      <alignment vertical="center"/>
    </xf>
    <xf numFmtId="172" fontId="0" fillId="0" borderId="46" xfId="4" applyNumberFormat="1" applyFont="1" applyBorder="1"/>
    <xf numFmtId="172" fontId="0" fillId="0" borderId="1" xfId="4" applyNumberFormat="1" applyFont="1" applyBorder="1"/>
    <xf numFmtId="172" fontId="0" fillId="0" borderId="5" xfId="4" applyNumberFormat="1" applyFont="1" applyBorder="1"/>
    <xf numFmtId="172" fontId="0" fillId="0" borderId="47" xfId="4" applyNumberFormat="1" applyFont="1" applyBorder="1"/>
    <xf numFmtId="0" fontId="0" fillId="0" borderId="48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172" fontId="0" fillId="0" borderId="1" xfId="4" applyNumberFormat="1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0" xfId="0" applyBorder="1" applyAlignment="1">
      <alignment horizontal="left"/>
    </xf>
    <xf numFmtId="172" fontId="0" fillId="0" borderId="50" xfId="4" applyNumberFormat="1" applyFont="1" applyBorder="1" applyAlignment="1">
      <alignment vertical="center"/>
    </xf>
    <xf numFmtId="0" fontId="0" fillId="20" borderId="29" xfId="0" applyFill="1" applyBorder="1"/>
    <xf numFmtId="0" fontId="0" fillId="20" borderId="30" xfId="0" applyFill="1" applyBorder="1"/>
    <xf numFmtId="172" fontId="56" fillId="20" borderId="51" xfId="4" applyNumberFormat="1" applyFont="1" applyFill="1" applyBorder="1"/>
    <xf numFmtId="172" fontId="56" fillId="20" borderId="52" xfId="4" applyNumberFormat="1" applyFont="1" applyFill="1" applyBorder="1"/>
    <xf numFmtId="172" fontId="56" fillId="20" borderId="53" xfId="4" applyNumberFormat="1" applyFont="1" applyFill="1" applyBorder="1"/>
    <xf numFmtId="172" fontId="56" fillId="20" borderId="54" xfId="4" applyNumberFormat="1" applyFont="1" applyFill="1" applyBorder="1"/>
    <xf numFmtId="168" fontId="2" fillId="0" borderId="0" xfId="3" applyNumberFormat="1" applyFont="1" applyBorder="1"/>
    <xf numFmtId="43" fontId="5" fillId="5" borderId="0" xfId="1" applyNumberFormat="1" applyFont="1" applyFill="1" applyProtection="1">
      <protection locked="0"/>
    </xf>
    <xf numFmtId="3" fontId="60" fillId="0" borderId="27" xfId="0" applyNumberFormat="1" applyFont="1" applyBorder="1" applyAlignment="1">
      <alignment horizontal="right" vertical="top" wrapText="1"/>
    </xf>
    <xf numFmtId="167" fontId="60" fillId="0" borderId="27" xfId="6" applyNumberFormat="1" applyFont="1" applyBorder="1" applyAlignment="1">
      <alignment horizontal="right" vertical="top" wrapText="1"/>
    </xf>
    <xf numFmtId="0" fontId="60" fillId="18" borderId="27" xfId="0" applyFont="1" applyFill="1" applyBorder="1" applyAlignment="1">
      <alignment horizontal="left" vertical="top" wrapText="1"/>
    </xf>
    <xf numFmtId="3" fontId="64" fillId="0" borderId="55" xfId="0" applyNumberFormat="1" applyFont="1" applyBorder="1" applyAlignment="1">
      <alignment horizontal="right" vertical="top" wrapText="1"/>
    </xf>
    <xf numFmtId="0" fontId="60" fillId="21" borderId="27" xfId="0" applyFont="1" applyFill="1" applyBorder="1" applyAlignment="1">
      <alignment horizontal="left" vertical="top" wrapText="1"/>
    </xf>
    <xf numFmtId="3" fontId="60" fillId="21" borderId="27" xfId="0" applyNumberFormat="1" applyFont="1" applyFill="1" applyBorder="1" applyAlignment="1">
      <alignment horizontal="right" vertical="top" wrapText="1"/>
    </xf>
    <xf numFmtId="3" fontId="64" fillId="21" borderId="55" xfId="0" applyNumberFormat="1" applyFont="1" applyFill="1" applyBorder="1" applyAlignment="1">
      <alignment horizontal="right" vertical="top" wrapText="1"/>
    </xf>
    <xf numFmtId="167" fontId="67" fillId="10" borderId="0" xfId="1" applyNumberFormat="1" applyFont="1" applyFill="1" applyBorder="1" applyAlignment="1">
      <alignment horizontal="left"/>
    </xf>
    <xf numFmtId="168" fontId="3" fillId="0" borderId="0" xfId="1" applyNumberFormat="1" applyFont="1" applyFill="1" applyBorder="1" applyAlignment="1">
      <alignment horizontal="right"/>
    </xf>
    <xf numFmtId="173" fontId="68" fillId="8" borderId="58" xfId="1" applyNumberFormat="1" applyFont="1" applyFill="1" applyBorder="1"/>
    <xf numFmtId="0" fontId="60" fillId="17" borderId="27" xfId="0" applyFont="1" applyFill="1" applyBorder="1" applyAlignment="1">
      <alignment horizontal="center" vertical="top" wrapText="1"/>
    </xf>
    <xf numFmtId="173" fontId="57" fillId="22" borderId="58" xfId="1" applyNumberFormat="1" applyFont="1" applyFill="1" applyBorder="1"/>
    <xf numFmtId="173" fontId="57" fillId="22" borderId="59" xfId="1" applyNumberFormat="1" applyFont="1" applyFill="1" applyBorder="1"/>
    <xf numFmtId="173" fontId="4" fillId="8" borderId="59" xfId="1" applyNumberFormat="1" applyFont="1" applyFill="1" applyBorder="1"/>
    <xf numFmtId="0" fontId="60" fillId="0" borderId="0" xfId="0" applyFont="1"/>
    <xf numFmtId="0" fontId="64" fillId="17" borderId="27" xfId="0" applyFont="1" applyFill="1" applyBorder="1" applyAlignment="1">
      <alignment vertical="top" wrapText="1"/>
    </xf>
    <xf numFmtId="0" fontId="64" fillId="0" borderId="0" xfId="0" applyFont="1" applyAlignment="1"/>
    <xf numFmtId="173" fontId="1" fillId="8" borderId="58" xfId="1" applyNumberFormat="1" applyFont="1" applyFill="1" applyBorder="1"/>
    <xf numFmtId="174" fontId="2" fillId="10" borderId="0" xfId="1" applyNumberFormat="1" applyFont="1" applyFill="1" applyBorder="1"/>
    <xf numFmtId="168" fontId="5" fillId="4" borderId="0" xfId="1" applyNumberFormat="1" applyFont="1" applyFill="1" applyProtection="1">
      <protection locked="0"/>
    </xf>
    <xf numFmtId="168" fontId="5" fillId="4" borderId="0" xfId="1" applyNumberFormat="1" applyFont="1" applyFill="1"/>
    <xf numFmtId="170" fontId="2" fillId="10" borderId="0" xfId="1" applyNumberFormat="1" applyFont="1" applyFill="1" applyBorder="1"/>
    <xf numFmtId="168" fontId="19" fillId="4" borderId="0" xfId="1" applyNumberFormat="1" applyFont="1" applyFill="1"/>
    <xf numFmtId="168" fontId="5" fillId="8" borderId="0" xfId="1" applyNumberFormat="1" applyFont="1" applyFill="1" applyProtection="1">
      <protection locked="0"/>
    </xf>
    <xf numFmtId="0" fontId="6" fillId="0" borderId="0" xfId="0" applyFont="1" applyFill="1" applyBorder="1" applyAlignment="1">
      <alignment horizontal="left"/>
    </xf>
    <xf numFmtId="0" fontId="36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171" fontId="39" fillId="11" borderId="0" xfId="4" applyNumberFormat="1" applyFont="1" applyFill="1" applyBorder="1" applyAlignment="1">
      <alignment horizontal="center" vertical="center" wrapText="1"/>
    </xf>
    <xf numFmtId="0" fontId="39" fillId="23" borderId="60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wrapText="1"/>
    </xf>
    <xf numFmtId="171" fontId="2" fillId="0" borderId="50" xfId="4" applyNumberFormat="1" applyFont="1" applyBorder="1" applyAlignment="1">
      <alignment horizontal="center" wrapText="1"/>
    </xf>
    <xf numFmtId="0" fontId="39" fillId="2" borderId="60" xfId="0" applyFont="1" applyFill="1" applyBorder="1" applyAlignment="1">
      <alignment horizontal="center" vertical="center" wrapText="1"/>
    </xf>
    <xf numFmtId="171" fontId="39" fillId="11" borderId="60" xfId="4" applyNumberFormat="1" applyFont="1" applyFill="1" applyBorder="1" applyAlignment="1">
      <alignment horizontal="center" vertical="center" wrapText="1"/>
    </xf>
    <xf numFmtId="168" fontId="5" fillId="0" borderId="2" xfId="1" applyNumberFormat="1" applyFont="1" applyFill="1" applyBorder="1" applyProtection="1">
      <protection locked="0"/>
    </xf>
    <xf numFmtId="168" fontId="5" fillId="0" borderId="0" xfId="1" applyNumberFormat="1" applyFont="1" applyFill="1" applyProtection="1">
      <protection locked="0"/>
    </xf>
    <xf numFmtId="168" fontId="19" fillId="0" borderId="0" xfId="1" applyNumberFormat="1" applyFont="1" applyFill="1" applyProtection="1"/>
    <xf numFmtId="168" fontId="19" fillId="0" borderId="0" xfId="1" applyNumberFormat="1" applyFont="1" applyFill="1" applyBorder="1" applyProtection="1"/>
    <xf numFmtId="168" fontId="5" fillId="0" borderId="0" xfId="1" applyNumberFormat="1" applyFont="1" applyFill="1" applyProtection="1">
      <protection locked="0"/>
    </xf>
    <xf numFmtId="0" fontId="0" fillId="0" borderId="0" xfId="0" applyBorder="1"/>
    <xf numFmtId="168" fontId="5" fillId="0" borderId="0" xfId="0" applyNumberFormat="1" applyFont="1"/>
    <xf numFmtId="168" fontId="5" fillId="0" borderId="0" xfId="1" applyNumberFormat="1" applyFont="1" applyFill="1" applyBorder="1" applyProtection="1"/>
    <xf numFmtId="168" fontId="16" fillId="0" borderId="15" xfId="1" applyNumberFormat="1" applyFont="1" applyBorder="1"/>
    <xf numFmtId="9" fontId="2" fillId="0" borderId="0" xfId="2" applyFont="1" applyBorder="1" applyAlignment="1">
      <alignment horizontal="right"/>
    </xf>
    <xf numFmtId="168" fontId="2" fillId="0" borderId="0" xfId="4" applyNumberFormat="1" applyFont="1" applyBorder="1"/>
    <xf numFmtId="168" fontId="2" fillId="0" borderId="2" xfId="4" applyNumberFormat="1" applyFont="1" applyBorder="1"/>
    <xf numFmtId="9" fontId="2" fillId="0" borderId="2" xfId="2" applyFont="1" applyBorder="1" applyAlignment="1">
      <alignment horizontal="right"/>
    </xf>
    <xf numFmtId="168" fontId="16" fillId="0" borderId="0" xfId="4" applyNumberFormat="1" applyFont="1" applyFill="1" applyBorder="1"/>
    <xf numFmtId="168" fontId="19" fillId="0" borderId="0" xfId="1" applyNumberFormat="1" applyFont="1" applyFill="1" applyProtection="1">
      <protection locked="0"/>
    </xf>
    <xf numFmtId="168" fontId="5" fillId="0" borderId="0" xfId="1" applyNumberFormat="1" applyFont="1" applyFill="1" applyBorder="1" applyProtection="1">
      <protection locked="0"/>
    </xf>
    <xf numFmtId="168" fontId="2" fillId="0" borderId="0" xfId="1" applyNumberFormat="1" applyFont="1" applyBorder="1"/>
    <xf numFmtId="168" fontId="16" fillId="0" borderId="15" xfId="1" applyNumberFormat="1" applyFont="1" applyBorder="1"/>
    <xf numFmtId="9" fontId="2" fillId="0" borderId="0" xfId="2" applyFont="1" applyBorder="1" applyAlignment="1">
      <alignment horizontal="right"/>
    </xf>
    <xf numFmtId="168" fontId="2" fillId="0" borderId="0" xfId="4" applyNumberFormat="1" applyFont="1" applyBorder="1"/>
    <xf numFmtId="168" fontId="2" fillId="0" borderId="2" xfId="4" applyNumberFormat="1" applyFont="1" applyBorder="1"/>
    <xf numFmtId="9" fontId="2" fillId="0" borderId="2" xfId="2" applyFont="1" applyBorder="1" applyAlignment="1">
      <alignment horizontal="right"/>
    </xf>
    <xf numFmtId="168" fontId="2" fillId="0" borderId="0" xfId="1" applyNumberFormat="1" applyFont="1" applyBorder="1"/>
    <xf numFmtId="168" fontId="16" fillId="0" borderId="15" xfId="1" applyNumberFormat="1" applyFont="1" applyBorder="1"/>
    <xf numFmtId="168" fontId="16" fillId="0" borderId="0" xfId="1" applyNumberFormat="1" applyFont="1" applyBorder="1"/>
    <xf numFmtId="168" fontId="16" fillId="0" borderId="2" xfId="1" applyNumberFormat="1" applyFont="1" applyBorder="1"/>
    <xf numFmtId="168" fontId="5" fillId="0" borderId="0" xfId="1" applyNumberFormat="1" applyFont="1" applyFill="1" applyBorder="1" applyProtection="1">
      <protection locked="0"/>
    </xf>
    <xf numFmtId="168" fontId="19" fillId="0" borderId="0" xfId="1" applyNumberFormat="1" applyFont="1" applyFill="1" applyBorder="1" applyProtection="1">
      <protection locked="0"/>
    </xf>
    <xf numFmtId="168" fontId="19" fillId="0" borderId="2" xfId="1" applyNumberFormat="1" applyFont="1" applyFill="1" applyBorder="1" applyProtection="1">
      <protection locked="0"/>
    </xf>
    <xf numFmtId="0" fontId="39" fillId="24" borderId="6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3" fontId="60" fillId="18" borderId="1" xfId="5" applyNumberFormat="1" applyFont="1" applyFill="1" applyBorder="1" applyAlignment="1">
      <alignment horizontal="right" vertical="top" wrapText="1"/>
    </xf>
    <xf numFmtId="3" fontId="60" fillId="18" borderId="1" xfId="5" applyNumberFormat="1" applyFont="1" applyFill="1" applyBorder="1" applyAlignment="1">
      <alignment horizontal="left" vertical="top" wrapText="1"/>
    </xf>
    <xf numFmtId="3" fontId="64" fillId="19" borderId="1" xfId="5" applyNumberFormat="1" applyFont="1" applyFill="1" applyBorder="1" applyAlignment="1">
      <alignment horizontal="left" vertical="top" wrapText="1"/>
    </xf>
    <xf numFmtId="3" fontId="64" fillId="8" borderId="1" xfId="5" applyNumberFormat="1" applyFont="1" applyFill="1" applyBorder="1" applyAlignment="1">
      <alignment horizontal="left" vertical="top" wrapText="1"/>
    </xf>
    <xf numFmtId="3" fontId="59" fillId="0" borderId="0" xfId="5" applyNumberFormat="1" applyFont="1" applyAlignment="1">
      <alignment horizontal="left" vertical="top" wrapText="1"/>
    </xf>
    <xf numFmtId="3" fontId="60" fillId="0" borderId="0" xfId="5" applyNumberFormat="1" applyFont="1" applyAlignment="1">
      <alignment horizontal="center" vertical="top" wrapText="1"/>
    </xf>
    <xf numFmtId="3" fontId="60" fillId="17" borderId="27" xfId="5" applyNumberFormat="1" applyFont="1" applyFill="1" applyBorder="1" applyAlignment="1">
      <alignment horizontal="left" vertical="top" wrapText="1"/>
    </xf>
    <xf numFmtId="3" fontId="60" fillId="17" borderId="28" xfId="5" applyNumberFormat="1" applyFont="1" applyFill="1" applyBorder="1" applyAlignment="1">
      <alignment horizontal="left" vertical="top" wrapText="1"/>
    </xf>
    <xf numFmtId="3" fontId="60" fillId="17" borderId="1" xfId="5" applyNumberFormat="1" applyFont="1" applyFill="1" applyBorder="1" applyAlignment="1">
      <alignment horizontal="left" vertical="top" wrapText="1"/>
    </xf>
    <xf numFmtId="0" fontId="60" fillId="18" borderId="27" xfId="0" applyFont="1" applyFill="1" applyBorder="1" applyAlignment="1">
      <alignment horizontal="left" vertical="top" wrapText="1"/>
    </xf>
    <xf numFmtId="0" fontId="60" fillId="18" borderId="28" xfId="0" applyFont="1" applyFill="1" applyBorder="1" applyAlignment="1">
      <alignment horizontal="left" vertical="top" wrapText="1"/>
    </xf>
    <xf numFmtId="0" fontId="60" fillId="18" borderId="56" xfId="0" applyFont="1" applyFill="1" applyBorder="1" applyAlignment="1">
      <alignment horizontal="left" vertical="top" wrapText="1"/>
    </xf>
    <xf numFmtId="0" fontId="60" fillId="18" borderId="0" xfId="0" applyFont="1" applyFill="1" applyBorder="1" applyAlignment="1">
      <alignment horizontal="left" vertical="top" wrapText="1"/>
    </xf>
    <xf numFmtId="0" fontId="60" fillId="18" borderId="0" xfId="0" applyFont="1" applyFill="1" applyAlignment="1">
      <alignment horizontal="left" vertical="top" wrapText="1"/>
    </xf>
    <xf numFmtId="3" fontId="63" fillId="16" borderId="1" xfId="5" applyNumberFormat="1" applyFont="1" applyFill="1" applyBorder="1" applyAlignment="1">
      <alignment horizontal="left" vertical="center" wrapText="1"/>
    </xf>
    <xf numFmtId="3" fontId="62" fillId="16" borderId="1" xfId="5" applyNumberFormat="1" applyFont="1" applyFill="1" applyBorder="1" applyAlignment="1">
      <alignment horizontal="left" vertical="center" wrapText="1"/>
    </xf>
    <xf numFmtId="3" fontId="61" fillId="16" borderId="1" xfId="5" applyNumberFormat="1" applyFont="1" applyFill="1" applyBorder="1" applyAlignment="1">
      <alignment horizontal="left" vertical="top" wrapText="1"/>
    </xf>
    <xf numFmtId="3" fontId="60" fillId="17" borderId="1" xfId="5" applyNumberFormat="1" applyFont="1" applyFill="1" applyBorder="1" applyAlignment="1">
      <alignment horizontal="center" vertical="top" wrapText="1"/>
    </xf>
    <xf numFmtId="0" fontId="60" fillId="21" borderId="56" xfId="0" applyFont="1" applyFill="1" applyBorder="1" applyAlignment="1">
      <alignment horizontal="center" vertical="top" wrapText="1"/>
    </xf>
    <xf numFmtId="0" fontId="60" fillId="21" borderId="0" xfId="0" applyFont="1" applyFill="1" applyBorder="1" applyAlignment="1">
      <alignment horizontal="center" vertical="top" wrapText="1"/>
    </xf>
    <xf numFmtId="0" fontId="60" fillId="21" borderId="57" xfId="0" applyFont="1" applyFill="1" applyBorder="1" applyAlignment="1">
      <alignment horizontal="center" vertical="top" wrapText="1"/>
    </xf>
    <xf numFmtId="0" fontId="65" fillId="20" borderId="38" xfId="0" applyFont="1" applyFill="1" applyBorder="1" applyAlignment="1">
      <alignment horizontal="center" wrapText="1"/>
    </xf>
    <xf numFmtId="0" fontId="65" fillId="20" borderId="45" xfId="0" applyFont="1" applyFill="1" applyBorder="1" applyAlignment="1">
      <alignment horizontal="center" wrapText="1"/>
    </xf>
    <xf numFmtId="0" fontId="66" fillId="20" borderId="29" xfId="0" applyFont="1" applyFill="1" applyBorder="1" applyAlignment="1">
      <alignment horizontal="center" vertical="center" wrapText="1"/>
    </xf>
    <xf numFmtId="0" fontId="66" fillId="20" borderId="30" xfId="0" applyFont="1" applyFill="1" applyBorder="1" applyAlignment="1">
      <alignment horizontal="center" vertical="center" wrapText="1"/>
    </xf>
    <xf numFmtId="0" fontId="66" fillId="20" borderId="31" xfId="0" applyFont="1" applyFill="1" applyBorder="1" applyAlignment="1">
      <alignment horizontal="center" vertical="center" wrapText="1"/>
    </xf>
    <xf numFmtId="0" fontId="65" fillId="20" borderId="32" xfId="0" applyFont="1" applyFill="1" applyBorder="1" applyAlignment="1">
      <alignment horizontal="center" vertical="center" wrapText="1"/>
    </xf>
    <xf numFmtId="0" fontId="65" fillId="20" borderId="39" xfId="0" applyFont="1" applyFill="1" applyBorder="1" applyAlignment="1">
      <alignment horizontal="center" vertical="center" wrapText="1"/>
    </xf>
    <xf numFmtId="0" fontId="65" fillId="20" borderId="33" xfId="0" applyFont="1" applyFill="1" applyBorder="1" applyAlignment="1">
      <alignment horizontal="center" vertical="center" wrapText="1"/>
    </xf>
    <xf numFmtId="0" fontId="65" fillId="20" borderId="40" xfId="0" applyFont="1" applyFill="1" applyBorder="1" applyAlignment="1">
      <alignment horizontal="center" vertical="center" wrapText="1"/>
    </xf>
    <xf numFmtId="0" fontId="65" fillId="20" borderId="33" xfId="0" applyFont="1" applyFill="1" applyBorder="1" applyAlignment="1">
      <alignment horizontal="center" vertical="center"/>
    </xf>
    <xf numFmtId="0" fontId="65" fillId="20" borderId="40" xfId="0" applyFont="1" applyFill="1" applyBorder="1" applyAlignment="1">
      <alignment horizontal="center" vertical="center"/>
    </xf>
    <xf numFmtId="164" fontId="65" fillId="20" borderId="34" xfId="3" applyNumberFormat="1" applyFont="1" applyFill="1" applyBorder="1" applyAlignment="1">
      <alignment horizontal="center" vertical="center" wrapText="1"/>
    </xf>
    <xf numFmtId="164" fontId="65" fillId="20" borderId="41" xfId="3" applyNumberFormat="1" applyFont="1" applyFill="1" applyBorder="1" applyAlignment="1">
      <alignment horizontal="center" vertical="center" wrapText="1"/>
    </xf>
    <xf numFmtId="167" fontId="65" fillId="20" borderId="33" xfId="3" applyNumberFormat="1" applyFont="1" applyFill="1" applyBorder="1" applyAlignment="1">
      <alignment horizontal="center" vertical="center" wrapText="1"/>
    </xf>
    <xf numFmtId="167" fontId="65" fillId="20" borderId="40" xfId="3" applyNumberFormat="1" applyFont="1" applyFill="1" applyBorder="1" applyAlignment="1">
      <alignment horizontal="center" vertical="center"/>
    </xf>
    <xf numFmtId="167" fontId="65" fillId="20" borderId="35" xfId="3" applyNumberFormat="1" applyFont="1" applyFill="1" applyBorder="1" applyAlignment="1">
      <alignment horizontal="center" vertical="center" wrapText="1"/>
    </xf>
    <xf numFmtId="167" fontId="65" fillId="20" borderId="42" xfId="3" applyNumberFormat="1" applyFont="1" applyFill="1" applyBorder="1" applyAlignment="1">
      <alignment horizontal="center" vertical="center" wrapText="1"/>
    </xf>
    <xf numFmtId="0" fontId="65" fillId="20" borderId="32" xfId="0" applyFont="1" applyFill="1" applyBorder="1" applyAlignment="1">
      <alignment horizontal="center"/>
    </xf>
    <xf numFmtId="0" fontId="65" fillId="20" borderId="36" xfId="0" applyFont="1" applyFill="1" applyBorder="1" applyAlignment="1">
      <alignment horizontal="center"/>
    </xf>
    <xf numFmtId="0" fontId="65" fillId="20" borderId="3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</cellXfs>
  <cellStyles count="7">
    <cellStyle name="Millares" xfId="1" builtinId="3"/>
    <cellStyle name="Millares 2" xfId="3"/>
    <cellStyle name="Millares 3" xfId="6"/>
    <cellStyle name="Moneda" xfId="4" builtinId="4"/>
    <cellStyle name="Normal" xfId="0" builtinId="0"/>
    <cellStyle name="Normal 2" xfId="5"/>
    <cellStyle name="Porcentaje" xfId="2" builtinId="5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mas/Dropbox/Proyecto%20MT/Tablero%20de%20control%20-%20Econ&#243;mico%20Financiero%20prueba%20GENERICO%20v%2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maffeo/AppData/Local/Microsoft/Windows/Temporary%20Internet%20Files/Content.Outlook/QK52NTX4/VENTAS%20EJECUTADO%20VS%20PPTO%20Rev%2018Abr2017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jecuci&#243;n%20Presupuestaria/Compartida/1-CONTROL%20DE%20GESTION/1-Template/2017/Abril/4-Proyect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jecuci&#243;n%20Presupuestaria/Compartida/1-CONTROL%20DE%20GESTION/1-Template/2017/Marzo/Modificacion%20Perso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jecuci&#243;n%20Presupuestaria/Compartida/1-CONTROL%20DE%20GESTION/1-Template/2017/4-%20Abril/6-FORCAST%20OBRA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Input"/>
      <sheetName val="Reporte Presup. y Proyección"/>
      <sheetName val="Reporte Evolución Mensual"/>
      <sheetName val="Listas"/>
    </sheetNames>
    <sheetDataSet>
      <sheetData sheetId="0" refreshError="1"/>
      <sheetData sheetId="1">
        <row r="2">
          <cell r="CQ2">
            <v>1</v>
          </cell>
        </row>
        <row r="8">
          <cell r="E8" t="str">
            <v>Min Transporte</v>
          </cell>
        </row>
      </sheetData>
      <sheetData sheetId="2">
        <row r="3">
          <cell r="E3" t="str">
            <v>Ene</v>
          </cell>
        </row>
      </sheetData>
      <sheetData sheetId="3">
        <row r="2">
          <cell r="E2" t="str">
            <v>Ene</v>
          </cell>
        </row>
      </sheetData>
      <sheetData sheetId="4">
        <row r="16">
          <cell r="C16" t="str">
            <v>Ene</v>
          </cell>
        </row>
        <row r="17">
          <cell r="C17" t="str">
            <v>Feb</v>
          </cell>
        </row>
        <row r="18">
          <cell r="C18" t="str">
            <v>Mar</v>
          </cell>
        </row>
        <row r="19">
          <cell r="C19" t="str">
            <v>Abr</v>
          </cell>
        </row>
        <row r="20">
          <cell r="C20" t="str">
            <v>May</v>
          </cell>
        </row>
        <row r="21">
          <cell r="C21" t="str">
            <v>Jun</v>
          </cell>
        </row>
        <row r="22">
          <cell r="C22" t="str">
            <v>Jul</v>
          </cell>
        </row>
        <row r="23">
          <cell r="C23" t="str">
            <v>Ago</v>
          </cell>
        </row>
        <row r="24">
          <cell r="C24" t="str">
            <v>Sep</v>
          </cell>
        </row>
        <row r="25">
          <cell r="C25" t="str">
            <v>Oct</v>
          </cell>
        </row>
        <row r="26">
          <cell r="C26" t="str">
            <v>Nov</v>
          </cell>
        </row>
        <row r="27">
          <cell r="C27" t="str">
            <v>Dic</v>
          </cell>
        </row>
        <row r="40">
          <cell r="C40" t="str">
            <v>ADIFSE</v>
          </cell>
        </row>
        <row r="41">
          <cell r="C41" t="str">
            <v>SOFSE</v>
          </cell>
        </row>
        <row r="42">
          <cell r="C42" t="str">
            <v>BCYL</v>
          </cell>
        </row>
        <row r="43">
          <cell r="C43" t="str">
            <v>ANAC</v>
          </cell>
        </row>
        <row r="44">
          <cell r="C44" t="str">
            <v>ORSNA</v>
          </cell>
        </row>
        <row r="45">
          <cell r="C45" t="str">
            <v>EANA</v>
          </cell>
        </row>
        <row r="46">
          <cell r="C46" t="str">
            <v>Intercargo</v>
          </cell>
        </row>
        <row r="47">
          <cell r="C47" t="str">
            <v>JIAAC</v>
          </cell>
        </row>
        <row r="48">
          <cell r="C48" t="str">
            <v>Aerolíneas</v>
          </cell>
        </row>
        <row r="49">
          <cell r="C49" t="str">
            <v>Subse P y V Nav</v>
          </cell>
        </row>
        <row r="50">
          <cell r="C50" t="str">
            <v>AGP</v>
          </cell>
        </row>
        <row r="51">
          <cell r="C51" t="str">
            <v>IAT</v>
          </cell>
        </row>
        <row r="52">
          <cell r="C52" t="str">
            <v>DNV</v>
          </cell>
        </row>
        <row r="53">
          <cell r="C53" t="str">
            <v>ASV</v>
          </cell>
        </row>
        <row r="54">
          <cell r="C54" t="str">
            <v>CNRT</v>
          </cell>
        </row>
        <row r="55">
          <cell r="C55" t="str">
            <v>S Gestion de Transporte</v>
          </cell>
        </row>
        <row r="56">
          <cell r="C56" t="str">
            <v>Secretaría de Obras</v>
          </cell>
        </row>
        <row r="57">
          <cell r="C57" t="str">
            <v>S de Planificación</v>
          </cell>
        </row>
        <row r="58">
          <cell r="C58" t="str">
            <v>S de Coordinación</v>
          </cell>
        </row>
        <row r="59">
          <cell r="C59" t="str">
            <v>S de Comunicación</v>
          </cell>
        </row>
        <row r="60">
          <cell r="C60" t="str">
            <v>Min Transporte</v>
          </cell>
        </row>
        <row r="61">
          <cell r="C61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AF - Proy Mensual de Ing 2017"/>
      <sheetName val="ENERO"/>
      <sheetName val="FEBRERO"/>
      <sheetName val="MARZO"/>
      <sheetName val="Datos-FO Reg Nuevos C"/>
      <sheetName val="Telec. Infra. 2015-2017"/>
      <sheetName val="Telec. F.O. 2015-2017 "/>
      <sheetName val="Serv. Públicos 2015-2017 "/>
      <sheetName val="Explot. de Inm. 2015-2017 "/>
      <sheetName val="Publicidad 2015-2017"/>
      <sheetName val="Viviendas 2015-2017"/>
      <sheetName val="Tabla 2015 -2017"/>
      <sheetName val="GEAF - Proy Mensual de Ing  (2"/>
      <sheetName val="Tabla 2013 -2017"/>
      <sheetName val="Gantt Objetivos"/>
    </sheetNames>
    <sheetDataSet>
      <sheetData sheetId="0">
        <row r="11">
          <cell r="I11">
            <v>9403129.1999999993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 X GERENCIA"/>
      <sheetName val="TD"/>
      <sheetName val="PERSONAL"/>
      <sheetName val="BASE"/>
      <sheetName val="PPTO"/>
      <sheetName val="RUBROS"/>
      <sheetName val="Hoja1"/>
      <sheetName val="PY TABLERO"/>
    </sheetNames>
    <sheetDataSet>
      <sheetData sheetId="0"/>
      <sheetData sheetId="1">
        <row r="2">
          <cell r="F2">
            <v>17021874.475000001</v>
          </cell>
          <cell r="G2">
            <v>2250750</v>
          </cell>
          <cell r="H2">
            <v>142197150</v>
          </cell>
          <cell r="I2">
            <v>10144924.375</v>
          </cell>
          <cell r="J2">
            <v>7794847.3499999996</v>
          </cell>
          <cell r="K2">
            <v>16066952.449999999</v>
          </cell>
          <cell r="L2">
            <v>4305900</v>
          </cell>
          <cell r="M2">
            <v>4495150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>
        <row r="4">
          <cell r="B4">
            <v>65557777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22">
          <cell r="J22">
            <v>553532463.42286646</v>
          </cell>
        </row>
        <row r="23">
          <cell r="C23">
            <v>76687545.607787564</v>
          </cell>
          <cell r="D23">
            <v>176568958.2684527</v>
          </cell>
          <cell r="E23">
            <v>88234654.038557589</v>
          </cell>
          <cell r="F23">
            <v>121989649.10811375</v>
          </cell>
          <cell r="G23">
            <v>125311415.62632942</v>
          </cell>
          <cell r="H23">
            <v>147134610.8736434</v>
          </cell>
          <cell r="I23">
            <v>161231761.56259546</v>
          </cell>
          <cell r="J23">
            <v>161247260.42373347</v>
          </cell>
        </row>
        <row r="24">
          <cell r="C24">
            <v>727635917.49093437</v>
          </cell>
          <cell r="D24">
            <v>296113214.07206535</v>
          </cell>
          <cell r="E24">
            <v>407413650.58804673</v>
          </cell>
          <cell r="F24">
            <v>434512830.61280423</v>
          </cell>
          <cell r="G24">
            <v>585277541.58753002</v>
          </cell>
          <cell r="H24">
            <v>591016371.23404586</v>
          </cell>
          <cell r="I24">
            <v>640150154.55545449</v>
          </cell>
          <cell r="J24">
            <v>720854376.52318192</v>
          </cell>
        </row>
        <row r="25">
          <cell r="C25">
            <v>-200000000</v>
          </cell>
          <cell r="E25">
            <v>-200000000</v>
          </cell>
          <cell r="F25">
            <v>-100000000</v>
          </cell>
          <cell r="G25">
            <v>-100000000</v>
          </cell>
          <cell r="H25">
            <v>-200000000</v>
          </cell>
          <cell r="J25">
            <v>-200000000</v>
          </cell>
        </row>
        <row r="26">
          <cell r="C26">
            <v>1043971826.2901583</v>
          </cell>
          <cell r="D26">
            <v>1108183313.9589322</v>
          </cell>
          <cell r="E26">
            <v>1097652353.7733834</v>
          </cell>
          <cell r="F26">
            <v>1090187754.5335217</v>
          </cell>
          <cell r="G26">
            <v>1190619217.1747746</v>
          </cell>
          <cell r="H26">
            <v>1251454673.252748</v>
          </cell>
          <cell r="I26">
            <v>1195254570.6289668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DV370"/>
  <sheetViews>
    <sheetView showGridLines="0" topLeftCell="B1" zoomScale="80" zoomScaleNormal="80" workbookViewId="0">
      <pane xSplit="9" ySplit="11" topLeftCell="BH14" activePane="bottomRight" state="frozen"/>
      <selection activeCell="B1" sqref="B1"/>
      <selection pane="topRight" activeCell="K1" sqref="K1"/>
      <selection pane="bottomLeft" activeCell="B12" sqref="B12"/>
      <selection pane="bottomRight" activeCell="BR27" sqref="BR27"/>
    </sheetView>
  </sheetViews>
  <sheetFormatPr baseColWidth="10" defaultColWidth="17.85546875" defaultRowHeight="15" customHeight="1" x14ac:dyDescent="0.25"/>
  <cols>
    <col min="2" max="4" width="10.7109375" hidden="1" customWidth="1"/>
    <col min="5" max="5" width="67.7109375" customWidth="1"/>
    <col min="6" max="6" width="30.5703125" customWidth="1"/>
    <col min="7" max="7" width="10.42578125" hidden="1" customWidth="1"/>
    <col min="8" max="8" width="8.28515625" hidden="1" customWidth="1"/>
    <col min="9" max="9" width="10.85546875" hidden="1" customWidth="1"/>
    <col min="10" max="10" width="10.140625" hidden="1" customWidth="1"/>
    <col min="30" max="77" width="17.85546875" customWidth="1"/>
    <col min="108" max="110" width="0" hidden="1" customWidth="1"/>
    <col min="111" max="111" width="9.42578125" hidden="1" customWidth="1"/>
    <col min="112" max="112" width="7.42578125" hidden="1" customWidth="1"/>
    <col min="113" max="126" width="0" hidden="1" customWidth="1"/>
  </cols>
  <sheetData>
    <row r="1" spans="1:126" ht="15" hidden="1" customHeight="1" x14ac:dyDescent="0.3">
      <c r="A1" s="1" t="s">
        <v>0</v>
      </c>
      <c r="B1" s="1" t="s">
        <v>292</v>
      </c>
      <c r="C1" s="1" t="s">
        <v>1</v>
      </c>
      <c r="D1" s="1" t="s">
        <v>2</v>
      </c>
      <c r="E1" s="1" t="s">
        <v>3</v>
      </c>
      <c r="F1" s="2" t="s">
        <v>133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4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5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5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5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5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5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5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5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5" t="s">
        <v>68</v>
      </c>
      <c r="BT1" s="1" t="s">
        <v>69</v>
      </c>
      <c r="BU1" s="1" t="s">
        <v>70</v>
      </c>
      <c r="BV1" s="1" t="s">
        <v>71</v>
      </c>
      <c r="BW1" s="1" t="s">
        <v>72</v>
      </c>
      <c r="BX1" s="1" t="s">
        <v>73</v>
      </c>
      <c r="BY1" s="5" t="s">
        <v>74</v>
      </c>
      <c r="BZ1" s="1" t="s">
        <v>75</v>
      </c>
      <c r="CA1" s="1" t="s">
        <v>76</v>
      </c>
      <c r="CB1" s="1" t="s">
        <v>77</v>
      </c>
      <c r="CC1" s="1" t="s">
        <v>78</v>
      </c>
      <c r="CD1" s="1" t="s">
        <v>79</v>
      </c>
      <c r="CE1" s="5" t="s">
        <v>80</v>
      </c>
      <c r="CF1" s="1" t="s">
        <v>81</v>
      </c>
      <c r="CG1" s="1" t="s">
        <v>82</v>
      </c>
      <c r="CH1" s="1" t="s">
        <v>83</v>
      </c>
      <c r="CI1" s="1" t="s">
        <v>84</v>
      </c>
      <c r="CJ1" s="1" t="s">
        <v>85</v>
      </c>
      <c r="CK1" s="5" t="s">
        <v>86</v>
      </c>
      <c r="CL1" s="3" t="s">
        <v>87</v>
      </c>
      <c r="CM1" s="3" t="s">
        <v>88</v>
      </c>
      <c r="CN1" s="3" t="s">
        <v>89</v>
      </c>
      <c r="CO1" s="3" t="s">
        <v>90</v>
      </c>
      <c r="CP1" s="3" t="s">
        <v>91</v>
      </c>
      <c r="CQ1" s="3" t="s">
        <v>92</v>
      </c>
      <c r="CR1" s="6" t="s">
        <v>93</v>
      </c>
      <c r="CS1" s="6" t="s">
        <v>94</v>
      </c>
      <c r="CT1" s="6" t="s">
        <v>95</v>
      </c>
      <c r="CU1" s="6" t="s">
        <v>96</v>
      </c>
      <c r="CV1" s="6" t="s">
        <v>97</v>
      </c>
      <c r="CW1" s="6" t="s">
        <v>98</v>
      </c>
      <c r="CX1" s="6" t="s">
        <v>99</v>
      </c>
      <c r="CY1" s="6" t="s">
        <v>100</v>
      </c>
      <c r="CZ1" s="6" t="s">
        <v>101</v>
      </c>
      <c r="DA1" s="6" t="s">
        <v>102</v>
      </c>
      <c r="DB1" s="6" t="s">
        <v>103</v>
      </c>
      <c r="DC1" s="6" t="s">
        <v>104</v>
      </c>
      <c r="DD1" s="1" t="s">
        <v>105</v>
      </c>
      <c r="DE1" s="1" t="s">
        <v>106</v>
      </c>
      <c r="DF1" s="1" t="s">
        <v>107</v>
      </c>
      <c r="DG1" s="7" t="s">
        <v>464</v>
      </c>
      <c r="DH1" s="7" t="s">
        <v>465</v>
      </c>
      <c r="DI1" s="7" t="s">
        <v>466</v>
      </c>
      <c r="DJ1" s="7" t="s">
        <v>467</v>
      </c>
      <c r="DK1" s="7" t="s">
        <v>468</v>
      </c>
      <c r="DL1" s="7" t="s">
        <v>469</v>
      </c>
      <c r="DM1" s="7" t="s">
        <v>470</v>
      </c>
      <c r="DN1" s="7" t="s">
        <v>471</v>
      </c>
      <c r="DO1" s="7" t="s">
        <v>472</v>
      </c>
      <c r="DP1" s="7" t="s">
        <v>473</v>
      </c>
      <c r="DQ1" s="7" t="s">
        <v>474</v>
      </c>
      <c r="DR1" s="7" t="s">
        <v>475</v>
      </c>
      <c r="DS1" s="7" t="s">
        <v>476</v>
      </c>
      <c r="DT1" s="7" t="s">
        <v>477</v>
      </c>
      <c r="DU1" s="7" t="s">
        <v>478</v>
      </c>
      <c r="DV1" s="346" t="s">
        <v>486</v>
      </c>
    </row>
    <row r="2" spans="1:126" ht="15" hidden="1" customHeight="1" x14ac:dyDescent="0.3">
      <c r="A2" s="1" t="str">
        <f>$F$8</f>
        <v>ADIFSE</v>
      </c>
      <c r="B2" s="1" t="str">
        <f>$F$9</f>
        <v>ADIFSE</v>
      </c>
      <c r="C2" s="1" t="str">
        <f>$F$7</f>
        <v>MAY</v>
      </c>
      <c r="D2" s="1" t="s">
        <v>108</v>
      </c>
      <c r="E2" s="1"/>
      <c r="F2" s="2"/>
      <c r="G2" s="1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1"/>
      <c r="X2" s="3"/>
      <c r="Y2" s="3"/>
      <c r="Z2" s="3"/>
      <c r="AA2" s="3"/>
      <c r="AB2" s="3"/>
      <c r="AC2" s="8"/>
      <c r="AD2" s="1"/>
      <c r="AE2" s="1"/>
      <c r="AF2" s="1"/>
      <c r="AG2" s="1"/>
      <c r="AH2" s="1"/>
      <c r="AI2" s="8"/>
      <c r="AJ2" s="1"/>
      <c r="AK2" s="1"/>
      <c r="AL2" s="1"/>
      <c r="AM2" s="1"/>
      <c r="AN2" s="1"/>
      <c r="AO2" s="8"/>
      <c r="AP2" s="1"/>
      <c r="AQ2" s="1"/>
      <c r="AR2" s="1"/>
      <c r="AS2" s="1"/>
      <c r="AT2" s="1"/>
      <c r="AU2" s="8"/>
      <c r="AV2" s="1"/>
      <c r="AW2" s="1"/>
      <c r="AX2" s="1"/>
      <c r="AY2" s="1"/>
      <c r="AZ2" s="1"/>
      <c r="BA2" s="8"/>
      <c r="BB2" s="1"/>
      <c r="BC2" s="1"/>
      <c r="BD2" s="1"/>
      <c r="BE2" s="1"/>
      <c r="BF2" s="1"/>
      <c r="BG2" s="8"/>
      <c r="BH2" s="1"/>
      <c r="BI2" s="1"/>
      <c r="BJ2" s="1"/>
      <c r="BK2" s="1"/>
      <c r="BL2" s="1"/>
      <c r="BM2" s="8"/>
      <c r="BN2" s="1"/>
      <c r="BO2" s="1"/>
      <c r="BP2" s="1"/>
      <c r="BQ2" s="1"/>
      <c r="BR2" s="1"/>
      <c r="BS2" s="8"/>
      <c r="BT2" s="1"/>
      <c r="BU2" s="1"/>
      <c r="BV2" s="1"/>
      <c r="BW2" s="1"/>
      <c r="BX2" s="1"/>
      <c r="BY2" s="8"/>
      <c r="BZ2" s="1"/>
      <c r="CA2" s="1"/>
      <c r="CB2" s="1"/>
      <c r="CC2" s="1"/>
      <c r="CD2" s="1"/>
      <c r="CE2" s="8"/>
      <c r="CF2" s="1"/>
      <c r="CG2" s="1"/>
      <c r="CH2" s="1"/>
      <c r="CI2" s="1"/>
      <c r="CJ2" s="1"/>
      <c r="CK2" s="8"/>
      <c r="CL2" s="3"/>
      <c r="CM2" s="3"/>
      <c r="CN2" s="3"/>
      <c r="CO2" s="3"/>
      <c r="CP2" s="3"/>
      <c r="CQ2" s="3"/>
      <c r="CR2" s="9">
        <v>1</v>
      </c>
      <c r="CS2" s="9">
        <v>2</v>
      </c>
      <c r="CT2" s="9">
        <v>3</v>
      </c>
      <c r="CU2" s="9">
        <v>4</v>
      </c>
      <c r="CV2" s="9">
        <v>5</v>
      </c>
      <c r="CW2" s="9">
        <v>6</v>
      </c>
      <c r="CX2" s="9">
        <v>7</v>
      </c>
      <c r="CY2" s="9">
        <v>8</v>
      </c>
      <c r="CZ2" s="9">
        <v>9</v>
      </c>
      <c r="DA2" s="9">
        <v>10</v>
      </c>
      <c r="DB2" s="9">
        <v>11</v>
      </c>
      <c r="DC2" s="9">
        <v>12</v>
      </c>
      <c r="DD2" s="1"/>
      <c r="DE2" s="1"/>
      <c r="DF2" s="1"/>
      <c r="DG2" s="7"/>
      <c r="DH2" s="1"/>
      <c r="DI2" s="9">
        <v>1</v>
      </c>
      <c r="DJ2" s="9">
        <v>2</v>
      </c>
      <c r="DK2" s="9">
        <v>3</v>
      </c>
      <c r="DL2" s="9">
        <v>4</v>
      </c>
      <c r="DM2" s="9">
        <v>5</v>
      </c>
      <c r="DN2" s="9">
        <v>6</v>
      </c>
      <c r="DO2" s="9">
        <v>7</v>
      </c>
      <c r="DP2" s="9">
        <v>8</v>
      </c>
      <c r="DQ2" s="9">
        <v>9</v>
      </c>
      <c r="DR2" s="9">
        <v>10</v>
      </c>
      <c r="DS2" s="9">
        <v>11</v>
      </c>
      <c r="DT2" s="9">
        <v>12</v>
      </c>
      <c r="DU2" s="1"/>
    </row>
    <row r="3" spans="1:126" ht="15" hidden="1" customHeight="1" x14ac:dyDescent="0.3">
      <c r="A3" s="1" t="str">
        <f t="shared" ref="A3:A66" si="0">$F$8</f>
        <v>ADIFSE</v>
      </c>
      <c r="B3" s="1" t="str">
        <f t="shared" ref="B3:B66" si="1">$F$9</f>
        <v>ADIFSE</v>
      </c>
      <c r="C3" s="1" t="str">
        <f t="shared" ref="C3:C66" si="2">$F$7</f>
        <v>MAY</v>
      </c>
      <c r="D3" s="1" t="s">
        <v>108</v>
      </c>
      <c r="E3" s="1"/>
      <c r="F3" s="2"/>
      <c r="G3" s="1"/>
      <c r="H3" s="1"/>
      <c r="I3" s="1"/>
      <c r="J3" s="1"/>
      <c r="K3" s="6" t="s">
        <v>109</v>
      </c>
      <c r="L3" s="9" t="s">
        <v>110</v>
      </c>
      <c r="M3" s="9" t="s">
        <v>110</v>
      </c>
      <c r="N3" s="9" t="s">
        <v>110</v>
      </c>
      <c r="O3" s="9" t="s">
        <v>110</v>
      </c>
      <c r="P3" s="9" t="s">
        <v>110</v>
      </c>
      <c r="Q3" s="9" t="s">
        <v>110</v>
      </c>
      <c r="R3" s="9"/>
      <c r="S3" s="9"/>
      <c r="T3" s="9"/>
      <c r="U3" s="9"/>
      <c r="V3" s="9"/>
      <c r="W3" s="1"/>
      <c r="X3" s="9"/>
      <c r="Y3" s="9"/>
      <c r="Z3" s="9"/>
      <c r="AA3" s="9"/>
      <c r="AB3" s="9"/>
      <c r="AC3" s="8"/>
      <c r="AD3" s="9"/>
      <c r="AE3" s="9"/>
      <c r="AF3" s="9"/>
      <c r="AG3" s="9"/>
      <c r="AH3" s="9"/>
      <c r="AI3" s="8"/>
      <c r="AJ3" s="9"/>
      <c r="AK3" s="9"/>
      <c r="AL3" s="9"/>
      <c r="AM3" s="9"/>
      <c r="AN3" s="9"/>
      <c r="AO3" s="8"/>
      <c r="AP3" s="9"/>
      <c r="AQ3" s="9"/>
      <c r="AR3" s="9"/>
      <c r="AS3" s="9"/>
      <c r="AT3" s="9"/>
      <c r="AU3" s="8"/>
      <c r="AV3" s="9"/>
      <c r="AW3" s="9"/>
      <c r="AX3" s="9"/>
      <c r="AY3" s="9"/>
      <c r="AZ3" s="9"/>
      <c r="BA3" s="8"/>
      <c r="BB3" s="9"/>
      <c r="BC3" s="9"/>
      <c r="BD3" s="9"/>
      <c r="BE3" s="9"/>
      <c r="BF3" s="9"/>
      <c r="BG3" s="8"/>
      <c r="BH3" s="9"/>
      <c r="BI3" s="9"/>
      <c r="BJ3" s="9"/>
      <c r="BK3" s="9"/>
      <c r="BL3" s="9"/>
      <c r="BM3" s="8"/>
      <c r="BN3" s="9"/>
      <c r="BO3" s="9"/>
      <c r="BP3" s="9"/>
      <c r="BQ3" s="9"/>
      <c r="BR3" s="9"/>
      <c r="BS3" s="8"/>
      <c r="BT3" s="9"/>
      <c r="BU3" s="9"/>
      <c r="BV3" s="9"/>
      <c r="BW3" s="9"/>
      <c r="BX3" s="9"/>
      <c r="BY3" s="8"/>
      <c r="BZ3" s="9"/>
      <c r="CA3" s="9"/>
      <c r="CB3" s="9"/>
      <c r="CC3" s="9"/>
      <c r="CD3" s="9"/>
      <c r="CE3" s="8"/>
      <c r="CF3" s="9"/>
      <c r="CG3" s="9"/>
      <c r="CH3" s="9"/>
      <c r="CI3" s="9"/>
      <c r="CJ3" s="9"/>
      <c r="CK3" s="8"/>
      <c r="CL3" s="9"/>
      <c r="CM3" s="9"/>
      <c r="CN3" s="9"/>
      <c r="CO3" s="9"/>
      <c r="CP3" s="9"/>
      <c r="CQ3" s="9"/>
      <c r="CR3" s="1" t="e">
        <f>IF($G$7=CR2,"ejecutado","proyectado")</f>
        <v>#REF!</v>
      </c>
      <c r="CS3" s="1" t="e">
        <f t="shared" ref="CS3:DC3" si="3">IF($G$7=CS2,"ejecutado","proyectado")</f>
        <v>#REF!</v>
      </c>
      <c r="CT3" s="1" t="e">
        <f t="shared" si="3"/>
        <v>#REF!</v>
      </c>
      <c r="CU3" s="1" t="e">
        <f t="shared" si="3"/>
        <v>#REF!</v>
      </c>
      <c r="CV3" s="1" t="e">
        <f t="shared" si="3"/>
        <v>#REF!</v>
      </c>
      <c r="CW3" s="1" t="e">
        <f t="shared" si="3"/>
        <v>#REF!</v>
      </c>
      <c r="CX3" s="1" t="e">
        <f t="shared" si="3"/>
        <v>#REF!</v>
      </c>
      <c r="CY3" s="1" t="e">
        <f t="shared" si="3"/>
        <v>#REF!</v>
      </c>
      <c r="CZ3" s="1" t="e">
        <f t="shared" si="3"/>
        <v>#REF!</v>
      </c>
      <c r="DA3" s="1" t="e">
        <f t="shared" si="3"/>
        <v>#REF!</v>
      </c>
      <c r="DB3" s="1" t="e">
        <f t="shared" si="3"/>
        <v>#REF!</v>
      </c>
      <c r="DC3" s="1" t="e">
        <f t="shared" si="3"/>
        <v>#REF!</v>
      </c>
      <c r="DD3" s="9"/>
      <c r="DE3" s="9"/>
      <c r="DF3" s="9"/>
      <c r="DG3" s="7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</row>
    <row r="4" spans="1:126" ht="15" hidden="1" customHeight="1" x14ac:dyDescent="0.3">
      <c r="A4" s="1" t="str">
        <f t="shared" si="0"/>
        <v>ADIFSE</v>
      </c>
      <c r="B4" s="1" t="str">
        <f t="shared" si="1"/>
        <v>ADIFSE</v>
      </c>
      <c r="C4" s="1" t="str">
        <f t="shared" si="2"/>
        <v>MAY</v>
      </c>
      <c r="D4" s="1" t="s">
        <v>108</v>
      </c>
      <c r="E4" s="1"/>
      <c r="F4" s="2"/>
      <c r="G4" s="1"/>
      <c r="H4" s="1"/>
      <c r="I4" s="1"/>
      <c r="J4" s="1"/>
      <c r="K4" s="1" t="s">
        <v>111</v>
      </c>
      <c r="L4" s="3" t="s">
        <v>111</v>
      </c>
      <c r="M4" s="3" t="s">
        <v>111</v>
      </c>
      <c r="N4" s="3" t="s">
        <v>111</v>
      </c>
      <c r="O4" s="3" t="s">
        <v>111</v>
      </c>
      <c r="P4" s="3" t="s">
        <v>111</v>
      </c>
      <c r="Q4" s="3" t="s">
        <v>111</v>
      </c>
      <c r="R4" s="3" t="s">
        <v>112</v>
      </c>
      <c r="S4" s="3" t="s">
        <v>112</v>
      </c>
      <c r="T4" s="3" t="s">
        <v>112</v>
      </c>
      <c r="U4" s="3" t="s">
        <v>112</v>
      </c>
      <c r="V4" s="3" t="s">
        <v>112</v>
      </c>
      <c r="W4" s="3" t="s">
        <v>112</v>
      </c>
      <c r="X4" s="3" t="s">
        <v>113</v>
      </c>
      <c r="Y4" s="3" t="s">
        <v>113</v>
      </c>
      <c r="Z4" s="3" t="s">
        <v>113</v>
      </c>
      <c r="AA4" s="3" t="s">
        <v>113</v>
      </c>
      <c r="AB4" s="3" t="s">
        <v>113</v>
      </c>
      <c r="AC4" s="10" t="s">
        <v>113</v>
      </c>
      <c r="AD4" s="1" t="s">
        <v>114</v>
      </c>
      <c r="AE4" s="1" t="s">
        <v>114</v>
      </c>
      <c r="AF4" s="1" t="s">
        <v>114</v>
      </c>
      <c r="AG4" s="1" t="s">
        <v>114</v>
      </c>
      <c r="AH4" s="1" t="s">
        <v>114</v>
      </c>
      <c r="AI4" s="8" t="s">
        <v>114</v>
      </c>
      <c r="AJ4" s="1" t="s">
        <v>115</v>
      </c>
      <c r="AK4" s="1" t="s">
        <v>115</v>
      </c>
      <c r="AL4" s="1" t="s">
        <v>115</v>
      </c>
      <c r="AM4" s="1" t="s">
        <v>115</v>
      </c>
      <c r="AN4" s="1" t="s">
        <v>115</v>
      </c>
      <c r="AO4" s="8" t="s">
        <v>115</v>
      </c>
      <c r="AP4" s="1" t="s">
        <v>116</v>
      </c>
      <c r="AQ4" s="1" t="s">
        <v>116</v>
      </c>
      <c r="AR4" s="1" t="s">
        <v>116</v>
      </c>
      <c r="AS4" s="1" t="s">
        <v>116</v>
      </c>
      <c r="AT4" s="1" t="s">
        <v>116</v>
      </c>
      <c r="AU4" s="8" t="s">
        <v>116</v>
      </c>
      <c r="AV4" s="1" t="s">
        <v>117</v>
      </c>
      <c r="AW4" s="1" t="s">
        <v>117</v>
      </c>
      <c r="AX4" s="1" t="s">
        <v>117</v>
      </c>
      <c r="AY4" s="1" t="s">
        <v>117</v>
      </c>
      <c r="AZ4" s="1" t="s">
        <v>117</v>
      </c>
      <c r="BA4" s="8" t="s">
        <v>117</v>
      </c>
      <c r="BB4" s="1" t="s">
        <v>118</v>
      </c>
      <c r="BC4" s="1" t="s">
        <v>118</v>
      </c>
      <c r="BD4" s="1" t="s">
        <v>118</v>
      </c>
      <c r="BE4" s="1" t="s">
        <v>118</v>
      </c>
      <c r="BF4" s="1" t="s">
        <v>118</v>
      </c>
      <c r="BG4" s="8" t="s">
        <v>118</v>
      </c>
      <c r="BH4" s="1" t="s">
        <v>119</v>
      </c>
      <c r="BI4" s="1" t="s">
        <v>119</v>
      </c>
      <c r="BJ4" s="1" t="s">
        <v>119</v>
      </c>
      <c r="BK4" s="1" t="s">
        <v>119</v>
      </c>
      <c r="BL4" s="1" t="s">
        <v>119</v>
      </c>
      <c r="BM4" s="8" t="s">
        <v>119</v>
      </c>
      <c r="BN4" s="1" t="s">
        <v>120</v>
      </c>
      <c r="BO4" s="1" t="s">
        <v>120</v>
      </c>
      <c r="BP4" s="1" t="s">
        <v>120</v>
      </c>
      <c r="BQ4" s="1" t="s">
        <v>120</v>
      </c>
      <c r="BR4" s="1" t="s">
        <v>120</v>
      </c>
      <c r="BS4" s="8" t="s">
        <v>120</v>
      </c>
      <c r="BT4" s="1" t="s">
        <v>121</v>
      </c>
      <c r="BU4" s="1" t="s">
        <v>121</v>
      </c>
      <c r="BV4" s="1" t="s">
        <v>121</v>
      </c>
      <c r="BW4" s="1" t="s">
        <v>121</v>
      </c>
      <c r="BX4" s="1" t="s">
        <v>121</v>
      </c>
      <c r="BY4" s="8" t="s">
        <v>121</v>
      </c>
      <c r="BZ4" s="1" t="s">
        <v>122</v>
      </c>
      <c r="CA4" s="1" t="s">
        <v>122</v>
      </c>
      <c r="CB4" s="1" t="s">
        <v>122</v>
      </c>
      <c r="CC4" s="1" t="s">
        <v>122</v>
      </c>
      <c r="CD4" s="1" t="s">
        <v>122</v>
      </c>
      <c r="CE4" s="8" t="s">
        <v>122</v>
      </c>
      <c r="CF4" s="1" t="s">
        <v>123</v>
      </c>
      <c r="CG4" s="1" t="s">
        <v>123</v>
      </c>
      <c r="CH4" s="1" t="s">
        <v>123</v>
      </c>
      <c r="CI4" s="1" t="s">
        <v>123</v>
      </c>
      <c r="CJ4" s="1" t="s">
        <v>123</v>
      </c>
      <c r="CK4" s="8" t="s">
        <v>123</v>
      </c>
      <c r="CL4" s="3" t="s">
        <v>111</v>
      </c>
      <c r="CM4" s="3" t="s">
        <v>111</v>
      </c>
      <c r="CN4" s="3" t="s">
        <v>111</v>
      </c>
      <c r="CO4" s="3" t="s">
        <v>111</v>
      </c>
      <c r="CP4" s="3" t="s">
        <v>111</v>
      </c>
      <c r="CQ4" s="3" t="s">
        <v>111</v>
      </c>
      <c r="CR4" s="3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7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</row>
    <row r="5" spans="1:126" ht="15" hidden="1" customHeight="1" x14ac:dyDescent="0.3">
      <c r="A5" s="1" t="str">
        <f t="shared" si="0"/>
        <v>ADIFSE</v>
      </c>
      <c r="B5" s="1" t="str">
        <f t="shared" si="1"/>
        <v>ADIFSE</v>
      </c>
      <c r="C5" s="1" t="str">
        <f t="shared" si="2"/>
        <v>MAY</v>
      </c>
      <c r="D5" s="1" t="s">
        <v>108</v>
      </c>
      <c r="E5" s="1"/>
      <c r="F5" s="2"/>
      <c r="G5" s="1"/>
      <c r="H5" s="1"/>
      <c r="I5" s="1"/>
      <c r="J5" s="1"/>
      <c r="K5" s="1">
        <v>2016</v>
      </c>
      <c r="L5" s="3">
        <v>2017</v>
      </c>
      <c r="M5" s="3">
        <v>2017</v>
      </c>
      <c r="N5" s="3">
        <v>2017</v>
      </c>
      <c r="O5" s="3">
        <v>2017</v>
      </c>
      <c r="P5" s="3">
        <v>2017</v>
      </c>
      <c r="Q5" s="3">
        <v>2017</v>
      </c>
      <c r="R5" s="3">
        <v>2017</v>
      </c>
      <c r="S5" s="3">
        <v>2017</v>
      </c>
      <c r="T5" s="3">
        <v>2017</v>
      </c>
      <c r="U5" s="3">
        <v>2017</v>
      </c>
      <c r="V5" s="3">
        <v>2017</v>
      </c>
      <c r="W5" s="3">
        <v>2017</v>
      </c>
      <c r="X5" s="3">
        <v>2017</v>
      </c>
      <c r="Y5" s="3">
        <v>2017</v>
      </c>
      <c r="Z5" s="3">
        <v>2017</v>
      </c>
      <c r="AA5" s="3">
        <v>2017</v>
      </c>
      <c r="AB5" s="3">
        <v>2017</v>
      </c>
      <c r="AC5" s="3">
        <v>2017</v>
      </c>
      <c r="AD5" s="3">
        <v>2017</v>
      </c>
      <c r="AE5" s="3">
        <v>2017</v>
      </c>
      <c r="AF5" s="3">
        <v>2017</v>
      </c>
      <c r="AG5" s="3">
        <v>2017</v>
      </c>
      <c r="AH5" s="3">
        <v>2017</v>
      </c>
      <c r="AI5" s="3">
        <v>2017</v>
      </c>
      <c r="AJ5" s="3">
        <v>2017</v>
      </c>
      <c r="AK5" s="3">
        <v>2017</v>
      </c>
      <c r="AL5" s="3">
        <v>2017</v>
      </c>
      <c r="AM5" s="3">
        <v>2017</v>
      </c>
      <c r="AN5" s="3">
        <v>2017</v>
      </c>
      <c r="AO5" s="3">
        <v>2017</v>
      </c>
      <c r="AP5" s="3">
        <v>2017</v>
      </c>
      <c r="AQ5" s="3">
        <v>2017</v>
      </c>
      <c r="AR5" s="3">
        <v>2017</v>
      </c>
      <c r="AS5" s="3">
        <v>2017</v>
      </c>
      <c r="AT5" s="3">
        <v>2017</v>
      </c>
      <c r="AU5" s="3">
        <v>2017</v>
      </c>
      <c r="AV5" s="3">
        <v>2017</v>
      </c>
      <c r="AW5" s="3">
        <v>2017</v>
      </c>
      <c r="AX5" s="3">
        <v>2017</v>
      </c>
      <c r="AY5" s="3">
        <v>2017</v>
      </c>
      <c r="AZ5" s="3">
        <v>2017</v>
      </c>
      <c r="BA5" s="3">
        <v>2017</v>
      </c>
      <c r="BB5" s="3">
        <v>2017</v>
      </c>
      <c r="BC5" s="3">
        <v>2017</v>
      </c>
      <c r="BD5" s="3">
        <v>2017</v>
      </c>
      <c r="BE5" s="3">
        <v>2017</v>
      </c>
      <c r="BF5" s="3">
        <v>2017</v>
      </c>
      <c r="BG5" s="3">
        <v>2017</v>
      </c>
      <c r="BH5" s="3">
        <v>2017</v>
      </c>
      <c r="BI5" s="3">
        <v>2017</v>
      </c>
      <c r="BJ5" s="3">
        <v>2017</v>
      </c>
      <c r="BK5" s="3">
        <v>2017</v>
      </c>
      <c r="BL5" s="3">
        <v>2017</v>
      </c>
      <c r="BM5" s="3">
        <v>2017</v>
      </c>
      <c r="BN5" s="3">
        <v>2017</v>
      </c>
      <c r="BO5" s="3">
        <v>2017</v>
      </c>
      <c r="BP5" s="3">
        <v>2017</v>
      </c>
      <c r="BQ5" s="3">
        <v>2017</v>
      </c>
      <c r="BR5" s="3">
        <v>2017</v>
      </c>
      <c r="BS5" s="3">
        <v>2017</v>
      </c>
      <c r="BT5" s="3">
        <v>2017</v>
      </c>
      <c r="BU5" s="3">
        <v>2017</v>
      </c>
      <c r="BV5" s="3">
        <v>2017</v>
      </c>
      <c r="BW5" s="3">
        <v>2017</v>
      </c>
      <c r="BX5" s="3">
        <v>2017</v>
      </c>
      <c r="BY5" s="3">
        <v>2017</v>
      </c>
      <c r="BZ5" s="3">
        <v>2017</v>
      </c>
      <c r="CA5" s="3">
        <v>2017</v>
      </c>
      <c r="CB5" s="3">
        <v>2017</v>
      </c>
      <c r="CC5" s="3">
        <v>2017</v>
      </c>
      <c r="CD5" s="3">
        <v>2017</v>
      </c>
      <c r="CE5" s="3">
        <v>2017</v>
      </c>
      <c r="CF5" s="3">
        <v>2017</v>
      </c>
      <c r="CG5" s="3">
        <v>2017</v>
      </c>
      <c r="CH5" s="3">
        <v>2017</v>
      </c>
      <c r="CI5" s="3">
        <v>2017</v>
      </c>
      <c r="CJ5" s="3">
        <v>2017</v>
      </c>
      <c r="CK5" s="3">
        <v>2017</v>
      </c>
      <c r="CL5" s="3">
        <v>2017</v>
      </c>
      <c r="CM5" s="3">
        <v>2017</v>
      </c>
      <c r="CN5" s="3">
        <v>2017</v>
      </c>
      <c r="CO5" s="3">
        <v>2017</v>
      </c>
      <c r="CP5" s="3">
        <v>2017</v>
      </c>
      <c r="CQ5" s="3">
        <v>2017</v>
      </c>
      <c r="CR5" s="3">
        <v>2017</v>
      </c>
      <c r="CS5" s="3">
        <v>2017</v>
      </c>
      <c r="CT5" s="3">
        <v>2017</v>
      </c>
      <c r="CU5" s="3">
        <v>2017</v>
      </c>
      <c r="CV5" s="3">
        <v>2017</v>
      </c>
      <c r="CW5" s="3">
        <v>2017</v>
      </c>
      <c r="CX5" s="3">
        <v>2017</v>
      </c>
      <c r="CY5" s="3">
        <v>2017</v>
      </c>
      <c r="CZ5" s="3">
        <v>2017</v>
      </c>
      <c r="DA5" s="3">
        <v>2017</v>
      </c>
      <c r="DB5" s="3">
        <v>2017</v>
      </c>
      <c r="DC5" s="3">
        <v>2017</v>
      </c>
      <c r="DD5" s="1"/>
      <c r="DE5" s="1"/>
      <c r="DF5" s="1"/>
      <c r="DG5" s="7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</row>
    <row r="6" spans="1:126" ht="15" hidden="1" customHeight="1" x14ac:dyDescent="0.3">
      <c r="A6" s="1" t="str">
        <f t="shared" si="0"/>
        <v>ADIFSE</v>
      </c>
      <c r="B6" s="1" t="str">
        <f t="shared" si="1"/>
        <v>ADIFSE</v>
      </c>
      <c r="C6" s="1" t="str">
        <f t="shared" si="2"/>
        <v>MAY</v>
      </c>
      <c r="D6" s="1" t="s">
        <v>108</v>
      </c>
      <c r="E6" s="1"/>
      <c r="F6" s="2"/>
      <c r="G6" s="1"/>
      <c r="H6" s="1"/>
      <c r="I6" s="1"/>
      <c r="J6" s="1"/>
      <c r="K6" s="1"/>
      <c r="L6" s="3" t="s">
        <v>124</v>
      </c>
      <c r="M6" s="3" t="s">
        <v>125</v>
      </c>
      <c r="N6" s="3" t="s">
        <v>126</v>
      </c>
      <c r="O6" s="3" t="s">
        <v>127</v>
      </c>
      <c r="P6" s="3" t="s">
        <v>128</v>
      </c>
      <c r="Q6" s="3" t="s">
        <v>111</v>
      </c>
      <c r="R6" s="3" t="s">
        <v>124</v>
      </c>
      <c r="S6" s="3" t="s">
        <v>125</v>
      </c>
      <c r="T6" s="3" t="s">
        <v>126</v>
      </c>
      <c r="U6" s="3" t="s">
        <v>127</v>
      </c>
      <c r="V6" s="3" t="s">
        <v>128</v>
      </c>
      <c r="W6" s="3" t="s">
        <v>111</v>
      </c>
      <c r="X6" s="3" t="s">
        <v>124</v>
      </c>
      <c r="Y6" s="3" t="s">
        <v>125</v>
      </c>
      <c r="Z6" s="3" t="s">
        <v>126</v>
      </c>
      <c r="AA6" s="3" t="s">
        <v>127</v>
      </c>
      <c r="AB6" s="3" t="s">
        <v>128</v>
      </c>
      <c r="AC6" s="3" t="s">
        <v>111</v>
      </c>
      <c r="AD6" s="3" t="s">
        <v>124</v>
      </c>
      <c r="AE6" s="3" t="s">
        <v>125</v>
      </c>
      <c r="AF6" s="3" t="s">
        <v>126</v>
      </c>
      <c r="AG6" s="3" t="s">
        <v>127</v>
      </c>
      <c r="AH6" s="3" t="s">
        <v>128</v>
      </c>
      <c r="AI6" s="3" t="s">
        <v>111</v>
      </c>
      <c r="AJ6" s="3" t="s">
        <v>124</v>
      </c>
      <c r="AK6" s="3" t="s">
        <v>125</v>
      </c>
      <c r="AL6" s="3" t="s">
        <v>126</v>
      </c>
      <c r="AM6" s="3" t="s">
        <v>127</v>
      </c>
      <c r="AN6" s="3" t="s">
        <v>128</v>
      </c>
      <c r="AO6" s="3" t="s">
        <v>111</v>
      </c>
      <c r="AP6" s="3" t="s">
        <v>124</v>
      </c>
      <c r="AQ6" s="3" t="s">
        <v>125</v>
      </c>
      <c r="AR6" s="3" t="s">
        <v>126</v>
      </c>
      <c r="AS6" s="3" t="s">
        <v>127</v>
      </c>
      <c r="AT6" s="3" t="s">
        <v>128</v>
      </c>
      <c r="AU6" s="3" t="s">
        <v>111</v>
      </c>
      <c r="AV6" s="3" t="s">
        <v>124</v>
      </c>
      <c r="AW6" s="3" t="s">
        <v>125</v>
      </c>
      <c r="AX6" s="3" t="s">
        <v>126</v>
      </c>
      <c r="AY6" s="3" t="s">
        <v>127</v>
      </c>
      <c r="AZ6" s="3" t="s">
        <v>128</v>
      </c>
      <c r="BA6" s="3" t="s">
        <v>111</v>
      </c>
      <c r="BB6" s="3" t="s">
        <v>124</v>
      </c>
      <c r="BC6" s="3" t="s">
        <v>125</v>
      </c>
      <c r="BD6" s="3" t="s">
        <v>126</v>
      </c>
      <c r="BE6" s="3" t="s">
        <v>127</v>
      </c>
      <c r="BF6" s="3" t="s">
        <v>128</v>
      </c>
      <c r="BG6" s="3" t="s">
        <v>111</v>
      </c>
      <c r="BH6" s="3" t="s">
        <v>124</v>
      </c>
      <c r="BI6" s="3" t="s">
        <v>125</v>
      </c>
      <c r="BJ6" s="3" t="s">
        <v>126</v>
      </c>
      <c r="BK6" s="3" t="s">
        <v>127</v>
      </c>
      <c r="BL6" s="3" t="s">
        <v>128</v>
      </c>
      <c r="BM6" s="3" t="s">
        <v>111</v>
      </c>
      <c r="BN6" s="3" t="s">
        <v>124</v>
      </c>
      <c r="BO6" s="3" t="s">
        <v>125</v>
      </c>
      <c r="BP6" s="3" t="s">
        <v>126</v>
      </c>
      <c r="BQ6" s="3" t="s">
        <v>127</v>
      </c>
      <c r="BR6" s="3" t="s">
        <v>128</v>
      </c>
      <c r="BS6" s="3" t="s">
        <v>111</v>
      </c>
      <c r="BT6" s="3" t="s">
        <v>124</v>
      </c>
      <c r="BU6" s="3" t="s">
        <v>125</v>
      </c>
      <c r="BV6" s="3" t="s">
        <v>126</v>
      </c>
      <c r="BW6" s="3" t="s">
        <v>127</v>
      </c>
      <c r="BX6" s="3" t="s">
        <v>128</v>
      </c>
      <c r="BY6" s="3" t="s">
        <v>111</v>
      </c>
      <c r="BZ6" s="3" t="s">
        <v>124</v>
      </c>
      <c r="CA6" s="3" t="s">
        <v>125</v>
      </c>
      <c r="CB6" s="3" t="s">
        <v>126</v>
      </c>
      <c r="CC6" s="3" t="s">
        <v>127</v>
      </c>
      <c r="CD6" s="3" t="s">
        <v>128</v>
      </c>
      <c r="CE6" s="3" t="s">
        <v>111</v>
      </c>
      <c r="CF6" s="3" t="s">
        <v>124</v>
      </c>
      <c r="CG6" s="3" t="s">
        <v>125</v>
      </c>
      <c r="CH6" s="3" t="s">
        <v>126</v>
      </c>
      <c r="CI6" s="3" t="s">
        <v>127</v>
      </c>
      <c r="CJ6" s="3" t="s">
        <v>128</v>
      </c>
      <c r="CK6" s="3" t="s">
        <v>111</v>
      </c>
      <c r="CL6" s="3" t="s">
        <v>124</v>
      </c>
      <c r="CM6" s="3" t="s">
        <v>125</v>
      </c>
      <c r="CN6" s="3" t="s">
        <v>126</v>
      </c>
      <c r="CO6" s="3" t="s">
        <v>127</v>
      </c>
      <c r="CP6" s="3" t="s">
        <v>128</v>
      </c>
      <c r="CQ6" s="3" t="s">
        <v>111</v>
      </c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7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</row>
    <row r="7" spans="1:126" ht="15" customHeight="1" x14ac:dyDescent="0.3">
      <c r="A7" s="1" t="str">
        <f t="shared" si="0"/>
        <v>ADIFSE</v>
      </c>
      <c r="B7" s="1" t="str">
        <f t="shared" si="1"/>
        <v>ADIFSE</v>
      </c>
      <c r="C7" s="1" t="str">
        <f t="shared" si="2"/>
        <v>MAY</v>
      </c>
      <c r="D7" s="1" t="s">
        <v>108</v>
      </c>
      <c r="E7" s="11" t="s">
        <v>129</v>
      </c>
      <c r="F7" s="12" t="s">
        <v>583</v>
      </c>
      <c r="G7" s="16" t="e">
        <f>VLOOKUP(#REF!, Listas!C16:D27,2,FALSE)</f>
        <v>#REF!</v>
      </c>
      <c r="H7" s="1"/>
      <c r="I7" s="1"/>
      <c r="J7" s="1"/>
      <c r="K7" s="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10"/>
      <c r="AD7" s="3"/>
      <c r="AE7" s="3"/>
      <c r="AF7" s="3"/>
      <c r="AG7" s="3"/>
      <c r="AH7" s="3"/>
      <c r="AI7" s="10"/>
      <c r="AJ7" s="3"/>
      <c r="AK7" s="3"/>
      <c r="AL7" s="3"/>
      <c r="AM7" s="3"/>
      <c r="AN7" s="3"/>
      <c r="AO7" s="10"/>
      <c r="AP7" s="3"/>
      <c r="AQ7" s="3"/>
      <c r="AR7" s="3"/>
      <c r="AS7" s="3"/>
      <c r="AT7" s="3"/>
      <c r="AU7" s="10"/>
      <c r="AV7" s="3"/>
      <c r="AW7" s="3"/>
      <c r="AX7" s="3"/>
      <c r="AY7" s="3"/>
      <c r="AZ7" s="3"/>
      <c r="BA7" s="10"/>
      <c r="BB7" s="3"/>
      <c r="BC7" s="3"/>
      <c r="BD7" s="3"/>
      <c r="BE7" s="3"/>
      <c r="BF7" s="3"/>
      <c r="BG7" s="10"/>
      <c r="BH7" s="3"/>
      <c r="BI7" s="3"/>
      <c r="BJ7" s="3"/>
      <c r="BK7" s="3"/>
      <c r="BL7" s="3"/>
      <c r="BM7" s="10"/>
      <c r="BN7" s="3"/>
      <c r="BO7" s="3"/>
      <c r="BP7" s="3"/>
      <c r="BQ7" s="3"/>
      <c r="BR7" s="3"/>
      <c r="BS7" s="10"/>
      <c r="BT7" s="3"/>
      <c r="BU7" s="3"/>
      <c r="BV7" s="3"/>
      <c r="BW7" s="3"/>
      <c r="BX7" s="3"/>
      <c r="BY7" s="10"/>
      <c r="BZ7" s="3"/>
      <c r="CA7" s="3"/>
      <c r="CB7" s="3"/>
      <c r="CC7" s="3"/>
      <c r="CD7" s="3"/>
      <c r="CE7" s="10"/>
      <c r="CF7" s="3"/>
      <c r="CG7" s="3"/>
      <c r="CH7" s="3"/>
      <c r="CI7" s="3"/>
      <c r="CJ7" s="3"/>
      <c r="CK7" s="10"/>
      <c r="CL7" s="3"/>
      <c r="CM7" s="3"/>
      <c r="CN7" s="3"/>
      <c r="CO7" s="3"/>
      <c r="CP7" s="3"/>
      <c r="CQ7" s="3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7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</row>
    <row r="8" spans="1:126" ht="15" customHeight="1" x14ac:dyDescent="0.3">
      <c r="A8" s="1" t="str">
        <f t="shared" si="0"/>
        <v>ADIFSE</v>
      </c>
      <c r="B8" s="1" t="str">
        <f t="shared" si="1"/>
        <v>ADIFSE</v>
      </c>
      <c r="C8" s="1" t="str">
        <f t="shared" si="2"/>
        <v>MAY</v>
      </c>
      <c r="D8" s="1" t="s">
        <v>108</v>
      </c>
      <c r="E8" s="13" t="s">
        <v>131</v>
      </c>
      <c r="F8" s="14" t="s">
        <v>293</v>
      </c>
      <c r="G8" s="1"/>
      <c r="H8" s="1"/>
      <c r="I8" s="1"/>
      <c r="J8" s="1"/>
      <c r="K8" s="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10"/>
      <c r="AD8" s="3"/>
      <c r="AE8" s="3"/>
      <c r="AF8" s="3"/>
      <c r="AG8" s="3"/>
      <c r="AH8" s="3"/>
      <c r="AI8" s="10"/>
      <c r="AJ8" s="3"/>
      <c r="AK8" s="3"/>
      <c r="AL8" s="3"/>
      <c r="AM8" s="3"/>
      <c r="AN8" s="3"/>
      <c r="AO8" s="10"/>
      <c r="AP8" s="3"/>
      <c r="AQ8" s="3"/>
      <c r="AR8" s="3"/>
      <c r="AS8" s="3"/>
      <c r="AT8" s="3"/>
      <c r="AU8" s="10"/>
      <c r="AV8" s="3"/>
      <c r="AW8" s="3"/>
      <c r="AX8" s="3"/>
      <c r="AY8" s="3"/>
      <c r="AZ8" s="3"/>
      <c r="BA8" s="10"/>
      <c r="BB8" s="3"/>
      <c r="BC8" s="3"/>
      <c r="BD8" s="3"/>
      <c r="BE8" s="3"/>
      <c r="BF8" s="3"/>
      <c r="BG8" s="10"/>
      <c r="BH8" s="3"/>
      <c r="BI8" s="3"/>
      <c r="BJ8" s="3"/>
      <c r="BK8" s="3"/>
      <c r="BL8" s="3"/>
      <c r="BM8" s="10"/>
      <c r="BN8" s="3"/>
      <c r="BO8" s="3"/>
      <c r="BP8" s="3"/>
      <c r="BQ8" s="3"/>
      <c r="BR8" s="3"/>
      <c r="BS8" s="10"/>
      <c r="BT8" s="3"/>
      <c r="BU8" s="3"/>
      <c r="BV8" s="3"/>
      <c r="BW8" s="3"/>
      <c r="BX8" s="3"/>
      <c r="BY8" s="10"/>
      <c r="BZ8" s="3"/>
      <c r="CA8" s="3"/>
      <c r="CB8" s="3"/>
      <c r="CC8" s="3"/>
      <c r="CD8" s="3"/>
      <c r="CE8" s="10"/>
      <c r="CF8" s="3"/>
      <c r="CG8" s="3"/>
      <c r="CH8" s="3"/>
      <c r="CI8" s="15"/>
      <c r="CJ8" s="3"/>
      <c r="CK8" s="10"/>
      <c r="CL8" s="3"/>
      <c r="CM8" s="3"/>
      <c r="CN8" s="3"/>
      <c r="CO8" s="3"/>
      <c r="CP8" s="3"/>
      <c r="CQ8" s="3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7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</row>
    <row r="9" spans="1:126" ht="15" customHeight="1" x14ac:dyDescent="0.3">
      <c r="A9" s="1" t="str">
        <f t="shared" si="0"/>
        <v>ADIFSE</v>
      </c>
      <c r="B9" s="1" t="str">
        <f t="shared" si="1"/>
        <v>ADIFSE</v>
      </c>
      <c r="C9" s="1" t="str">
        <f t="shared" si="2"/>
        <v>MAY</v>
      </c>
      <c r="D9" s="1"/>
      <c r="E9" s="13" t="s">
        <v>443</v>
      </c>
      <c r="F9" s="389" t="str">
        <f>VLOOKUP(F8,Listas!B76:C101,2,FALSE)</f>
        <v>ADIFSE</v>
      </c>
      <c r="G9" s="1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10"/>
      <c r="AD9" s="3"/>
      <c r="AE9" s="3"/>
      <c r="AF9" s="3"/>
      <c r="AG9" s="3"/>
      <c r="AH9" s="3"/>
      <c r="AI9" s="10"/>
      <c r="AJ9" s="3"/>
      <c r="AK9" s="3"/>
      <c r="AL9" s="3"/>
      <c r="AM9" s="3"/>
      <c r="AN9" s="3"/>
      <c r="AO9" s="10"/>
      <c r="AP9" s="3"/>
      <c r="AQ9" s="3"/>
      <c r="AR9" s="3"/>
      <c r="AS9" s="3"/>
      <c r="AT9" s="3"/>
      <c r="AU9" s="10"/>
      <c r="AV9" s="3"/>
      <c r="AW9" s="3"/>
      <c r="AX9" s="3"/>
      <c r="AY9" s="3"/>
      <c r="AZ9" s="3"/>
      <c r="BA9" s="10"/>
      <c r="BB9" s="3"/>
      <c r="BC9" s="3"/>
      <c r="BD9" s="3"/>
      <c r="BE9" s="3"/>
      <c r="BF9" s="3"/>
      <c r="BG9" s="10"/>
      <c r="BH9" s="3"/>
      <c r="BI9" s="3"/>
      <c r="BJ9" s="3"/>
      <c r="BK9" s="3"/>
      <c r="BL9" s="3"/>
      <c r="BM9" s="10"/>
      <c r="BN9" s="3"/>
      <c r="BO9" s="3"/>
      <c r="BP9" s="3"/>
      <c r="BQ9" s="3"/>
      <c r="BR9" s="3"/>
      <c r="BS9" s="10"/>
      <c r="BT9" s="3"/>
      <c r="BU9" s="3"/>
      <c r="BV9" s="3"/>
      <c r="BW9" s="3"/>
      <c r="BX9" s="3"/>
      <c r="BY9" s="10"/>
      <c r="BZ9" s="3"/>
      <c r="CA9" s="3"/>
      <c r="CB9" s="3"/>
      <c r="CC9" s="3"/>
      <c r="CD9" s="3"/>
      <c r="CE9" s="10"/>
      <c r="CF9" s="3"/>
      <c r="CG9" s="3"/>
      <c r="CH9" s="3"/>
      <c r="CI9" s="15"/>
      <c r="CJ9" s="3"/>
      <c r="CK9" s="10"/>
      <c r="CL9" s="3"/>
      <c r="CM9" s="3"/>
      <c r="CN9" s="3"/>
      <c r="CO9" s="3"/>
      <c r="CP9" s="3"/>
      <c r="CQ9" s="3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7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</row>
    <row r="10" spans="1:126" ht="15" customHeight="1" x14ac:dyDescent="0.3">
      <c r="A10" s="1" t="str">
        <f t="shared" si="0"/>
        <v>ADIFSE</v>
      </c>
      <c r="B10" s="1" t="str">
        <f t="shared" si="1"/>
        <v>ADIFSE</v>
      </c>
      <c r="C10" s="1" t="str">
        <f t="shared" si="2"/>
        <v>MAY</v>
      </c>
      <c r="D10" s="16" t="s">
        <v>108</v>
      </c>
      <c r="E10" s="323" t="s">
        <v>461</v>
      </c>
      <c r="F10" s="17"/>
      <c r="G10" s="16"/>
      <c r="H10" s="16"/>
      <c r="I10" s="16"/>
      <c r="J10" s="16"/>
      <c r="K10" s="16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9"/>
      <c r="AD10" s="18"/>
      <c r="AE10" s="18"/>
      <c r="AF10" s="18"/>
      <c r="AG10" s="18"/>
      <c r="AH10" s="18"/>
      <c r="AI10" s="19"/>
      <c r="AJ10" s="18"/>
      <c r="AK10" s="18"/>
      <c r="AL10" s="18"/>
      <c r="AM10" s="18"/>
      <c r="AN10" s="18"/>
      <c r="AO10" s="19"/>
      <c r="AP10" s="18"/>
      <c r="AQ10" s="18"/>
      <c r="AR10" s="18"/>
      <c r="AS10" s="18"/>
      <c r="AT10" s="18"/>
      <c r="AU10" s="19"/>
      <c r="AV10" s="18"/>
      <c r="AW10" s="18"/>
      <c r="AX10" s="18"/>
      <c r="AY10" s="18"/>
      <c r="AZ10" s="18"/>
      <c r="BA10" s="19"/>
      <c r="BB10" s="18"/>
      <c r="BC10" s="18"/>
      <c r="BD10" s="18"/>
      <c r="BE10" s="18"/>
      <c r="BF10" s="18"/>
      <c r="BG10" s="19"/>
      <c r="BH10" s="18"/>
      <c r="BI10" s="18"/>
      <c r="BJ10" s="18"/>
      <c r="BK10" s="18"/>
      <c r="BL10" s="18"/>
      <c r="BM10" s="19"/>
      <c r="BN10" s="18"/>
      <c r="BO10" s="18"/>
      <c r="BP10" s="18"/>
      <c r="BQ10" s="18"/>
      <c r="BR10" s="18"/>
      <c r="BS10" s="19"/>
      <c r="BT10" s="18"/>
      <c r="BU10" s="18"/>
      <c r="BV10" s="18"/>
      <c r="BW10" s="18"/>
      <c r="BX10" s="18"/>
      <c r="BY10" s="19"/>
      <c r="BZ10" s="18"/>
      <c r="CA10" s="18"/>
      <c r="CB10" s="18"/>
      <c r="CC10" s="18"/>
      <c r="CD10" s="18"/>
      <c r="CE10" s="19"/>
      <c r="CF10" s="18"/>
      <c r="CG10" s="18"/>
      <c r="CH10" s="18"/>
      <c r="CI10" s="18"/>
      <c r="CJ10" s="18"/>
      <c r="CK10" s="19"/>
      <c r="CL10" s="18"/>
      <c r="CM10" s="18"/>
      <c r="CN10" s="18"/>
      <c r="CO10" s="18"/>
      <c r="CP10" s="18"/>
      <c r="CQ10" s="18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7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6" ht="49.5" x14ac:dyDescent="0.3">
      <c r="A11" s="1" t="str">
        <f t="shared" si="0"/>
        <v>ADIFSE</v>
      </c>
      <c r="B11" s="1" t="str">
        <f t="shared" si="1"/>
        <v>ADIFSE</v>
      </c>
      <c r="C11" s="1" t="str">
        <f t="shared" si="2"/>
        <v>MAY</v>
      </c>
      <c r="D11" s="1" t="s">
        <v>108</v>
      </c>
      <c r="E11" s="20" t="s">
        <v>333</v>
      </c>
      <c r="F11" s="21" t="s">
        <v>133</v>
      </c>
      <c r="G11" s="22" t="s">
        <v>4</v>
      </c>
      <c r="H11" s="22" t="s">
        <v>5</v>
      </c>
      <c r="I11" s="22" t="s">
        <v>6</v>
      </c>
      <c r="J11" s="22" t="s">
        <v>7</v>
      </c>
      <c r="K11" s="23" t="str">
        <f t="shared" ref="K11:AP11" si="4">CONCATENATE(K3," ",K4," ",K5," ",K6)</f>
        <v xml:space="preserve">ejecutado total 2016 </v>
      </c>
      <c r="L11" s="23" t="str">
        <f t="shared" si="4"/>
        <v>vigente total 2017 F11, 15 y 22 de tesoro</v>
      </c>
      <c r="M11" s="23" t="str">
        <f t="shared" si="4"/>
        <v>vigente total 2017 F12</v>
      </c>
      <c r="N11" s="23" t="str">
        <f t="shared" si="4"/>
        <v>vigente total 2017 F13</v>
      </c>
      <c r="O11" s="23" t="str">
        <f t="shared" si="4"/>
        <v>vigente total 2017 F14</v>
      </c>
      <c r="P11" s="23" t="str">
        <f t="shared" si="4"/>
        <v>vigente total 2017 F22 real</v>
      </c>
      <c r="Q11" s="23" t="str">
        <f t="shared" si="4"/>
        <v>vigente total 2017 total</v>
      </c>
      <c r="R11" s="23" t="str">
        <f t="shared" si="4"/>
        <v xml:space="preserve"> ene 2017 F11, 15 y 22 de tesoro</v>
      </c>
      <c r="S11" s="23" t="str">
        <f t="shared" si="4"/>
        <v xml:space="preserve"> ene 2017 F12</v>
      </c>
      <c r="T11" s="23" t="str">
        <f t="shared" si="4"/>
        <v xml:space="preserve"> ene 2017 F13</v>
      </c>
      <c r="U11" s="23" t="str">
        <f t="shared" si="4"/>
        <v xml:space="preserve"> ene 2017 F14</v>
      </c>
      <c r="V11" s="23" t="str">
        <f t="shared" si="4"/>
        <v xml:space="preserve"> ene 2017 F22 real</v>
      </c>
      <c r="W11" s="23" t="str">
        <f t="shared" si="4"/>
        <v xml:space="preserve"> ene 2017 total</v>
      </c>
      <c r="X11" s="23" t="str">
        <f t="shared" si="4"/>
        <v xml:space="preserve"> feb 2017 F11, 15 y 22 de tesoro</v>
      </c>
      <c r="Y11" s="23" t="str">
        <f t="shared" si="4"/>
        <v xml:space="preserve"> feb 2017 F12</v>
      </c>
      <c r="Z11" s="23" t="str">
        <f t="shared" si="4"/>
        <v xml:space="preserve"> feb 2017 F13</v>
      </c>
      <c r="AA11" s="23" t="str">
        <f t="shared" si="4"/>
        <v xml:space="preserve"> feb 2017 F14</v>
      </c>
      <c r="AB11" s="23" t="str">
        <f t="shared" si="4"/>
        <v xml:space="preserve"> feb 2017 F22 real</v>
      </c>
      <c r="AC11" s="24" t="str">
        <f t="shared" si="4"/>
        <v xml:space="preserve"> feb 2017 total</v>
      </c>
      <c r="AD11" s="23" t="str">
        <f t="shared" si="4"/>
        <v xml:space="preserve"> mar 2017 F11, 15 y 22 de tesoro</v>
      </c>
      <c r="AE11" s="23" t="str">
        <f t="shared" si="4"/>
        <v xml:space="preserve"> mar 2017 F12</v>
      </c>
      <c r="AF11" s="23" t="str">
        <f t="shared" si="4"/>
        <v xml:space="preserve"> mar 2017 F13</v>
      </c>
      <c r="AG11" s="23" t="str">
        <f t="shared" si="4"/>
        <v xml:space="preserve"> mar 2017 F14</v>
      </c>
      <c r="AH11" s="23" t="str">
        <f t="shared" si="4"/>
        <v xml:space="preserve"> mar 2017 F22 real</v>
      </c>
      <c r="AI11" s="24" t="str">
        <f t="shared" si="4"/>
        <v xml:space="preserve"> mar 2017 total</v>
      </c>
      <c r="AJ11" s="23" t="str">
        <f t="shared" si="4"/>
        <v xml:space="preserve"> abr 2017 F11, 15 y 22 de tesoro</v>
      </c>
      <c r="AK11" s="23" t="str">
        <f t="shared" si="4"/>
        <v xml:space="preserve"> abr 2017 F12</v>
      </c>
      <c r="AL11" s="23" t="str">
        <f t="shared" si="4"/>
        <v xml:space="preserve"> abr 2017 F13</v>
      </c>
      <c r="AM11" s="23" t="str">
        <f t="shared" si="4"/>
        <v xml:space="preserve"> abr 2017 F14</v>
      </c>
      <c r="AN11" s="23" t="str">
        <f t="shared" si="4"/>
        <v xml:space="preserve"> abr 2017 F22 real</v>
      </c>
      <c r="AO11" s="24" t="str">
        <f t="shared" si="4"/>
        <v xml:space="preserve"> abr 2017 total</v>
      </c>
      <c r="AP11" s="23" t="str">
        <f t="shared" si="4"/>
        <v xml:space="preserve"> may 2017 F11, 15 y 22 de tesoro</v>
      </c>
      <c r="AQ11" s="23" t="str">
        <f t="shared" ref="AQ11:BV11" si="5">CONCATENATE(AQ3," ",AQ4," ",AQ5," ",AQ6)</f>
        <v xml:space="preserve"> may 2017 F12</v>
      </c>
      <c r="AR11" s="23" t="str">
        <f t="shared" si="5"/>
        <v xml:space="preserve"> may 2017 F13</v>
      </c>
      <c r="AS11" s="23" t="str">
        <f t="shared" si="5"/>
        <v xml:space="preserve"> may 2017 F14</v>
      </c>
      <c r="AT11" s="23" t="str">
        <f t="shared" si="5"/>
        <v xml:space="preserve"> may 2017 F22 real</v>
      </c>
      <c r="AU11" s="24" t="str">
        <f t="shared" si="5"/>
        <v xml:space="preserve"> may 2017 total</v>
      </c>
      <c r="AV11" s="23" t="str">
        <f t="shared" si="5"/>
        <v xml:space="preserve"> jun 2017 F11, 15 y 22 de tesoro</v>
      </c>
      <c r="AW11" s="23" t="str">
        <f t="shared" si="5"/>
        <v xml:space="preserve"> jun 2017 F12</v>
      </c>
      <c r="AX11" s="23" t="str">
        <f t="shared" si="5"/>
        <v xml:space="preserve"> jun 2017 F13</v>
      </c>
      <c r="AY11" s="23" t="str">
        <f t="shared" si="5"/>
        <v xml:space="preserve"> jun 2017 F14</v>
      </c>
      <c r="AZ11" s="23" t="str">
        <f t="shared" si="5"/>
        <v xml:space="preserve"> jun 2017 F22 real</v>
      </c>
      <c r="BA11" s="24" t="str">
        <f t="shared" si="5"/>
        <v xml:space="preserve"> jun 2017 total</v>
      </c>
      <c r="BB11" s="23" t="str">
        <f t="shared" si="5"/>
        <v xml:space="preserve"> jul 2017 F11, 15 y 22 de tesoro</v>
      </c>
      <c r="BC11" s="23" t="str">
        <f t="shared" si="5"/>
        <v xml:space="preserve"> jul 2017 F12</v>
      </c>
      <c r="BD11" s="23" t="str">
        <f t="shared" si="5"/>
        <v xml:space="preserve"> jul 2017 F13</v>
      </c>
      <c r="BE11" s="23" t="str">
        <f t="shared" si="5"/>
        <v xml:space="preserve"> jul 2017 F14</v>
      </c>
      <c r="BF11" s="23" t="str">
        <f t="shared" si="5"/>
        <v xml:space="preserve"> jul 2017 F22 real</v>
      </c>
      <c r="BG11" s="24" t="str">
        <f t="shared" si="5"/>
        <v xml:space="preserve"> jul 2017 total</v>
      </c>
      <c r="BH11" s="23" t="str">
        <f t="shared" si="5"/>
        <v xml:space="preserve"> ago 2017 F11, 15 y 22 de tesoro</v>
      </c>
      <c r="BI11" s="23" t="str">
        <f t="shared" si="5"/>
        <v xml:space="preserve"> ago 2017 F12</v>
      </c>
      <c r="BJ11" s="23" t="str">
        <f t="shared" si="5"/>
        <v xml:space="preserve"> ago 2017 F13</v>
      </c>
      <c r="BK11" s="23" t="str">
        <f t="shared" si="5"/>
        <v xml:space="preserve"> ago 2017 F14</v>
      </c>
      <c r="BL11" s="23" t="str">
        <f t="shared" si="5"/>
        <v xml:space="preserve"> ago 2017 F22 real</v>
      </c>
      <c r="BM11" s="24" t="str">
        <f t="shared" si="5"/>
        <v xml:space="preserve"> ago 2017 total</v>
      </c>
      <c r="BN11" s="23" t="str">
        <f t="shared" si="5"/>
        <v xml:space="preserve"> sep 2017 F11, 15 y 22 de tesoro</v>
      </c>
      <c r="BO11" s="23" t="str">
        <f t="shared" si="5"/>
        <v xml:space="preserve"> sep 2017 F12</v>
      </c>
      <c r="BP11" s="23" t="str">
        <f t="shared" si="5"/>
        <v xml:space="preserve"> sep 2017 F13</v>
      </c>
      <c r="BQ11" s="23" t="str">
        <f t="shared" si="5"/>
        <v xml:space="preserve"> sep 2017 F14</v>
      </c>
      <c r="BR11" s="23" t="str">
        <f t="shared" si="5"/>
        <v xml:space="preserve"> sep 2017 F22 real</v>
      </c>
      <c r="BS11" s="24" t="str">
        <f t="shared" si="5"/>
        <v xml:space="preserve"> sep 2017 total</v>
      </c>
      <c r="BT11" s="23" t="str">
        <f t="shared" si="5"/>
        <v xml:space="preserve"> oct 2017 F11, 15 y 22 de tesoro</v>
      </c>
      <c r="BU11" s="23" t="str">
        <f t="shared" si="5"/>
        <v xml:space="preserve"> oct 2017 F12</v>
      </c>
      <c r="BV11" s="23" t="str">
        <f t="shared" si="5"/>
        <v xml:space="preserve"> oct 2017 F13</v>
      </c>
      <c r="BW11" s="23" t="str">
        <f t="shared" ref="BW11:CQ11" si="6">CONCATENATE(BW3," ",BW4," ",BW5," ",BW6)</f>
        <v xml:space="preserve"> oct 2017 F14</v>
      </c>
      <c r="BX11" s="23" t="str">
        <f t="shared" si="6"/>
        <v xml:space="preserve"> oct 2017 F22 real</v>
      </c>
      <c r="BY11" s="24" t="str">
        <f t="shared" si="6"/>
        <v xml:space="preserve"> oct 2017 total</v>
      </c>
      <c r="BZ11" s="23" t="str">
        <f t="shared" si="6"/>
        <v xml:space="preserve"> nov 2017 F11, 15 y 22 de tesoro</v>
      </c>
      <c r="CA11" s="23" t="str">
        <f t="shared" si="6"/>
        <v xml:space="preserve"> nov 2017 F12</v>
      </c>
      <c r="CB11" s="23" t="str">
        <f t="shared" si="6"/>
        <v xml:space="preserve"> nov 2017 F13</v>
      </c>
      <c r="CC11" s="23" t="str">
        <f t="shared" si="6"/>
        <v xml:space="preserve"> nov 2017 F14</v>
      </c>
      <c r="CD11" s="23" t="str">
        <f t="shared" si="6"/>
        <v xml:space="preserve"> nov 2017 F22 real</v>
      </c>
      <c r="CE11" s="24" t="str">
        <f t="shared" si="6"/>
        <v xml:space="preserve"> nov 2017 total</v>
      </c>
      <c r="CF11" s="23" t="str">
        <f t="shared" si="6"/>
        <v xml:space="preserve"> dic 2017 F11, 15 y 22 de tesoro</v>
      </c>
      <c r="CG11" s="23" t="str">
        <f t="shared" si="6"/>
        <v xml:space="preserve"> dic 2017 F12</v>
      </c>
      <c r="CH11" s="23" t="str">
        <f t="shared" si="6"/>
        <v xml:space="preserve"> dic 2017 F13</v>
      </c>
      <c r="CI11" s="23" t="str">
        <f t="shared" si="6"/>
        <v xml:space="preserve"> dic 2017 F14</v>
      </c>
      <c r="CJ11" s="23" t="str">
        <f t="shared" si="6"/>
        <v xml:space="preserve"> dic 2017 F22 real</v>
      </c>
      <c r="CK11" s="24" t="str">
        <f t="shared" si="6"/>
        <v xml:space="preserve"> dic 2017 total</v>
      </c>
      <c r="CL11" s="23" t="str">
        <f t="shared" si="6"/>
        <v xml:space="preserve"> total 2017 F11, 15 y 22 de tesoro</v>
      </c>
      <c r="CM11" s="23" t="str">
        <f t="shared" si="6"/>
        <v xml:space="preserve"> total 2017 F12</v>
      </c>
      <c r="CN11" s="23" t="str">
        <f t="shared" si="6"/>
        <v xml:space="preserve"> total 2017 F13</v>
      </c>
      <c r="CO11" s="23" t="str">
        <f t="shared" si="6"/>
        <v xml:space="preserve"> total 2017 F14</v>
      </c>
      <c r="CP11" s="23" t="str">
        <f t="shared" si="6"/>
        <v xml:space="preserve"> total 2017 F22 real</v>
      </c>
      <c r="CQ11" s="23" t="str">
        <f t="shared" si="6"/>
        <v xml:space="preserve"> total 2017 total</v>
      </c>
      <c r="CR11" s="23" t="s">
        <v>134</v>
      </c>
      <c r="CS11" s="23" t="s">
        <v>135</v>
      </c>
      <c r="CT11" s="23" t="s">
        <v>136</v>
      </c>
      <c r="CU11" s="23" t="s">
        <v>137</v>
      </c>
      <c r="CV11" s="23" t="s">
        <v>138</v>
      </c>
      <c r="CW11" s="23" t="s">
        <v>139</v>
      </c>
      <c r="CX11" s="23" t="s">
        <v>140</v>
      </c>
      <c r="CY11" s="23" t="s">
        <v>141</v>
      </c>
      <c r="CZ11" s="23" t="s">
        <v>142</v>
      </c>
      <c r="DA11" s="23" t="s">
        <v>143</v>
      </c>
      <c r="DB11" s="23" t="s">
        <v>144</v>
      </c>
      <c r="DC11" s="23" t="s">
        <v>145</v>
      </c>
      <c r="DD11" s="297" t="s">
        <v>105</v>
      </c>
      <c r="DE11" s="297" t="s">
        <v>106</v>
      </c>
      <c r="DF11" s="297" t="s">
        <v>107</v>
      </c>
      <c r="DG11" s="25"/>
      <c r="DH11" s="25"/>
      <c r="DI11" s="23" t="s">
        <v>146</v>
      </c>
      <c r="DJ11" s="23" t="s">
        <v>147</v>
      </c>
      <c r="DK11" s="23" t="s">
        <v>148</v>
      </c>
      <c r="DL11" s="23" t="s">
        <v>149</v>
      </c>
      <c r="DM11" s="23" t="s">
        <v>150</v>
      </c>
      <c r="DN11" s="23" t="s">
        <v>151</v>
      </c>
      <c r="DO11" s="23" t="s">
        <v>152</v>
      </c>
      <c r="DP11" s="23" t="s">
        <v>153</v>
      </c>
      <c r="DQ11" s="23" t="s">
        <v>154</v>
      </c>
      <c r="DR11" s="23" t="s">
        <v>155</v>
      </c>
      <c r="DS11" s="23" t="s">
        <v>156</v>
      </c>
      <c r="DT11" s="23" t="s">
        <v>157</v>
      </c>
      <c r="DU11" s="1"/>
    </row>
    <row r="12" spans="1:126" ht="15" customHeight="1" x14ac:dyDescent="0.3">
      <c r="A12" s="1" t="str">
        <f t="shared" si="0"/>
        <v>ADIFSE</v>
      </c>
      <c r="B12" s="1" t="str">
        <f t="shared" si="1"/>
        <v>ADIFSE</v>
      </c>
      <c r="C12" s="1" t="str">
        <f t="shared" si="2"/>
        <v>MAY</v>
      </c>
      <c r="D12" s="26" t="s">
        <v>108</v>
      </c>
      <c r="E12" s="298" t="s">
        <v>158</v>
      </c>
      <c r="F12" s="299"/>
      <c r="G12" s="300"/>
      <c r="H12" s="301"/>
      <c r="I12" s="301"/>
      <c r="J12" s="301"/>
      <c r="K12" s="302">
        <v>2016</v>
      </c>
      <c r="L12" s="303" t="s">
        <v>159</v>
      </c>
      <c r="M12" s="304"/>
      <c r="N12" s="304"/>
      <c r="O12" s="304"/>
      <c r="P12" s="304"/>
      <c r="Q12" s="305"/>
      <c r="R12" s="303" t="s">
        <v>306</v>
      </c>
      <c r="S12" s="304"/>
      <c r="T12" s="304"/>
      <c r="U12" s="304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6"/>
      <c r="AW12" s="306"/>
      <c r="AX12" s="306"/>
      <c r="AY12" s="306"/>
      <c r="AZ12" s="306"/>
      <c r="BA12" s="306"/>
      <c r="BB12" s="306"/>
      <c r="BC12" s="306"/>
      <c r="BD12" s="306"/>
      <c r="BE12" s="306"/>
      <c r="BF12" s="306"/>
      <c r="BG12" s="306"/>
      <c r="BH12" s="306"/>
      <c r="BI12" s="306"/>
      <c r="BJ12" s="306"/>
      <c r="BK12" s="306"/>
      <c r="BL12" s="306"/>
      <c r="BM12" s="306"/>
      <c r="BN12" s="306"/>
      <c r="BO12" s="306"/>
      <c r="BP12" s="306"/>
      <c r="BQ12" s="306"/>
      <c r="BR12" s="306"/>
      <c r="BS12" s="306"/>
      <c r="BT12" s="306"/>
      <c r="BU12" s="306"/>
      <c r="BV12" s="306"/>
      <c r="BW12" s="306"/>
      <c r="BX12" s="306"/>
      <c r="BY12" s="306"/>
      <c r="BZ12" s="306"/>
      <c r="CA12" s="306"/>
      <c r="CB12" s="306"/>
      <c r="CC12" s="306"/>
      <c r="CD12" s="306"/>
      <c r="CE12" s="306"/>
      <c r="CF12" s="306"/>
      <c r="CG12" s="306"/>
      <c r="CH12" s="306"/>
      <c r="CI12" s="306"/>
      <c r="CJ12" s="306"/>
      <c r="CK12" s="306"/>
      <c r="CL12" s="303" t="s">
        <v>160</v>
      </c>
      <c r="CM12" s="306"/>
      <c r="CN12" s="306"/>
      <c r="CO12" s="306"/>
      <c r="CP12" s="306"/>
      <c r="CQ12" s="30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8"/>
      <c r="DH12" s="29"/>
      <c r="DI12" s="29"/>
      <c r="DJ12" s="29"/>
      <c r="DK12" s="29"/>
      <c r="DL12" s="29"/>
      <c r="DM12" s="29"/>
      <c r="DN12" s="29"/>
      <c r="DO12" s="26"/>
      <c r="DP12" s="26"/>
      <c r="DQ12" s="26"/>
      <c r="DR12" s="26"/>
      <c r="DS12" s="26"/>
      <c r="DT12" s="26"/>
      <c r="DU12" s="26"/>
      <c r="DV12" s="346"/>
    </row>
    <row r="13" spans="1:126" ht="15" customHeight="1" x14ac:dyDescent="0.3">
      <c r="A13" s="1" t="str">
        <f t="shared" si="0"/>
        <v>ADIFSE</v>
      </c>
      <c r="B13" s="1" t="str">
        <f t="shared" si="1"/>
        <v>ADIFSE</v>
      </c>
      <c r="C13" s="1" t="str">
        <f t="shared" si="2"/>
        <v>MAY</v>
      </c>
      <c r="D13" s="1" t="s">
        <v>163</v>
      </c>
      <c r="E13" s="30" t="s">
        <v>161</v>
      </c>
      <c r="F13" s="31"/>
      <c r="G13" s="1"/>
      <c r="H13" s="32"/>
      <c r="I13" s="32"/>
      <c r="J13" s="32"/>
      <c r="K13" s="33"/>
      <c r="L13" s="34"/>
      <c r="M13" s="34"/>
      <c r="N13" s="34"/>
      <c r="O13" s="34"/>
      <c r="P13" s="34"/>
      <c r="Q13" s="35"/>
      <c r="R13" s="33"/>
      <c r="S13" s="33"/>
      <c r="T13" s="33"/>
      <c r="U13" s="33"/>
      <c r="V13" s="33"/>
      <c r="W13" s="36">
        <f>SUM(R13:V13)</f>
        <v>0</v>
      </c>
      <c r="X13" s="34"/>
      <c r="Y13" s="34"/>
      <c r="Z13" s="34"/>
      <c r="AA13" s="34"/>
      <c r="AB13" s="34"/>
      <c r="AC13" s="36"/>
      <c r="AD13" s="34"/>
      <c r="AE13" s="34"/>
      <c r="AF13" s="34"/>
      <c r="AG13" s="34"/>
      <c r="AH13" s="34"/>
      <c r="AI13" s="36"/>
      <c r="AJ13" s="34"/>
      <c r="AK13" s="34"/>
      <c r="AL13" s="34"/>
      <c r="AM13" s="34"/>
      <c r="AN13" s="34"/>
      <c r="AO13" s="36"/>
      <c r="AP13" s="34"/>
      <c r="AQ13" s="34"/>
      <c r="AR13" s="34"/>
      <c r="AS13" s="34"/>
      <c r="AT13" s="34"/>
      <c r="AU13" s="36"/>
      <c r="AV13" s="34"/>
      <c r="AW13" s="34"/>
      <c r="AX13" s="34"/>
      <c r="AY13" s="34"/>
      <c r="AZ13" s="34"/>
      <c r="BA13" s="36"/>
      <c r="BB13" s="34"/>
      <c r="BC13" s="34"/>
      <c r="BD13" s="34"/>
      <c r="BE13" s="34"/>
      <c r="BF13" s="34"/>
      <c r="BG13" s="36"/>
      <c r="BH13" s="34"/>
      <c r="BI13" s="34"/>
      <c r="BJ13" s="34"/>
      <c r="BK13" s="34"/>
      <c r="BL13" s="34"/>
      <c r="BM13" s="36"/>
      <c r="BN13" s="34"/>
      <c r="BO13" s="34"/>
      <c r="BP13" s="34"/>
      <c r="BQ13" s="34"/>
      <c r="BR13" s="34"/>
      <c r="BS13" s="36"/>
      <c r="BT13" s="34"/>
      <c r="BU13" s="34"/>
      <c r="BV13" s="34"/>
      <c r="BW13" s="34"/>
      <c r="BX13" s="34"/>
      <c r="BY13" s="36"/>
      <c r="BZ13" s="34"/>
      <c r="CA13" s="34"/>
      <c r="CB13" s="34"/>
      <c r="CC13" s="34"/>
      <c r="CD13" s="34"/>
      <c r="CE13" s="36"/>
      <c r="CF13" s="34"/>
      <c r="CG13" s="34"/>
      <c r="CH13" s="34"/>
      <c r="CI13" s="34"/>
      <c r="CJ13" s="34"/>
      <c r="CK13" s="36"/>
      <c r="CL13" s="35">
        <f>+R13+X13+AD13+AJ13+AP13+AV13+BB13+BH13+BN13+BT13+BZ13+CF13</f>
        <v>0</v>
      </c>
      <c r="CM13" s="35">
        <f t="shared" ref="CM13:CQ13" si="7">+S13+Y13+AE13+AK13+AQ13+AW13+BC13+BI13+BO13+BU13+CA13+CG13</f>
        <v>0</v>
      </c>
      <c r="CN13" s="35">
        <f t="shared" si="7"/>
        <v>0</v>
      </c>
      <c r="CO13" s="35">
        <f t="shared" si="7"/>
        <v>0</v>
      </c>
      <c r="CP13" s="35">
        <f t="shared" si="7"/>
        <v>0</v>
      </c>
      <c r="CQ13" s="35">
        <f t="shared" si="7"/>
        <v>0</v>
      </c>
      <c r="CR13" s="37">
        <f>+W13</f>
        <v>0</v>
      </c>
      <c r="CS13" s="37"/>
      <c r="CT13" s="38"/>
      <c r="CU13" s="37"/>
      <c r="CV13" s="37"/>
      <c r="CW13" s="37"/>
      <c r="CX13" s="37"/>
      <c r="CY13" s="37"/>
      <c r="CZ13" s="37"/>
      <c r="DA13" s="37"/>
      <c r="DB13" s="37"/>
      <c r="DC13" s="37"/>
      <c r="DD13" s="39">
        <f>+HLOOKUP('Reporte Evolución Mensual'!$F$2-2,$CR$2:$DC$251, Input!$DG13, FALSE)</f>
        <v>0</v>
      </c>
      <c r="DE13" s="39">
        <f>+HLOOKUP('Reporte Evolución Mensual'!$F$2-1,$CR$2:$DC$251, Input!$DG13, FALSE)</f>
        <v>0</v>
      </c>
      <c r="DF13" s="39">
        <f>+HLOOKUP('Reporte Evolución Mensual'!$F$2,$CR$2:$DC$371, Input!$DG13, FALSE)</f>
        <v>0</v>
      </c>
      <c r="DG13" s="40">
        <v>13</v>
      </c>
      <c r="DH13" s="37"/>
      <c r="DI13" s="37">
        <f>+CR13</f>
        <v>0</v>
      </c>
      <c r="DJ13" s="37">
        <f>+DI13+CS13</f>
        <v>0</v>
      </c>
      <c r="DK13" s="37">
        <f>+DJ13+CT13</f>
        <v>0</v>
      </c>
      <c r="DL13" s="37">
        <f t="shared" ref="DL13:DT13" si="8">+DK13+CU13</f>
        <v>0</v>
      </c>
      <c r="DM13" s="37">
        <f t="shared" si="8"/>
        <v>0</v>
      </c>
      <c r="DN13" s="37">
        <f t="shared" si="8"/>
        <v>0</v>
      </c>
      <c r="DO13" s="37">
        <f t="shared" si="8"/>
        <v>0</v>
      </c>
      <c r="DP13" s="37">
        <f t="shared" si="8"/>
        <v>0</v>
      </c>
      <c r="DQ13" s="37">
        <f t="shared" si="8"/>
        <v>0</v>
      </c>
      <c r="DR13" s="37">
        <f t="shared" si="8"/>
        <v>0</v>
      </c>
      <c r="DS13" s="37">
        <f t="shared" si="8"/>
        <v>0</v>
      </c>
      <c r="DT13" s="37">
        <f t="shared" si="8"/>
        <v>0</v>
      </c>
      <c r="DU13" s="16"/>
      <c r="DV13" s="345" t="s">
        <v>163</v>
      </c>
    </row>
    <row r="14" spans="1:126" ht="15" customHeight="1" x14ac:dyDescent="0.3">
      <c r="A14" s="1" t="str">
        <f t="shared" si="0"/>
        <v>ADIFSE</v>
      </c>
      <c r="B14" s="1" t="str">
        <f t="shared" si="1"/>
        <v>ADIFSE</v>
      </c>
      <c r="C14" s="1" t="str">
        <f t="shared" si="2"/>
        <v>MAY</v>
      </c>
      <c r="D14" s="41" t="s">
        <v>108</v>
      </c>
      <c r="E14" s="42" t="s">
        <v>162</v>
      </c>
      <c r="F14" s="43"/>
      <c r="G14" s="41"/>
      <c r="H14" s="44"/>
      <c r="I14" s="44"/>
      <c r="J14" s="44"/>
      <c r="K14" s="45"/>
      <c r="L14" s="46"/>
      <c r="M14" s="46"/>
      <c r="N14" s="46"/>
      <c r="O14" s="46"/>
      <c r="P14" s="46"/>
      <c r="Q14" s="47"/>
      <c r="R14" s="46"/>
      <c r="S14" s="46"/>
      <c r="T14" s="46"/>
      <c r="U14" s="46"/>
      <c r="V14" s="46"/>
      <c r="W14" s="48"/>
      <c r="X14" s="46"/>
      <c r="Y14" s="46"/>
      <c r="Z14" s="46"/>
      <c r="AA14" s="46"/>
      <c r="AB14" s="46"/>
      <c r="AC14" s="48"/>
      <c r="AD14" s="46"/>
      <c r="AE14" s="46"/>
      <c r="AF14" s="46"/>
      <c r="AG14" s="46"/>
      <c r="AH14" s="46"/>
      <c r="AI14" s="48"/>
      <c r="AJ14" s="46"/>
      <c r="AK14" s="46"/>
      <c r="AL14" s="46"/>
      <c r="AM14" s="46"/>
      <c r="AN14" s="46"/>
      <c r="AO14" s="48"/>
      <c r="AP14" s="46"/>
      <c r="AQ14" s="46"/>
      <c r="AR14" s="46"/>
      <c r="AS14" s="46"/>
      <c r="AT14" s="46"/>
      <c r="AU14" s="48"/>
      <c r="AV14" s="46"/>
      <c r="AW14" s="46"/>
      <c r="AX14" s="46"/>
      <c r="AY14" s="46"/>
      <c r="AZ14" s="46"/>
      <c r="BA14" s="48"/>
      <c r="BB14" s="46"/>
      <c r="BC14" s="46"/>
      <c r="BD14" s="46"/>
      <c r="BE14" s="46"/>
      <c r="BF14" s="46"/>
      <c r="BG14" s="48"/>
      <c r="BH14" s="46"/>
      <c r="BI14" s="46"/>
      <c r="BJ14" s="46"/>
      <c r="BK14" s="46"/>
      <c r="BL14" s="46"/>
      <c r="BM14" s="48"/>
      <c r="BN14" s="46"/>
      <c r="BO14" s="46"/>
      <c r="BP14" s="46"/>
      <c r="BQ14" s="46"/>
      <c r="BR14" s="46"/>
      <c r="BS14" s="48"/>
      <c r="BT14" s="46"/>
      <c r="BU14" s="46"/>
      <c r="BV14" s="46"/>
      <c r="BW14" s="46"/>
      <c r="BX14" s="46"/>
      <c r="BY14" s="48"/>
      <c r="BZ14" s="46"/>
      <c r="CA14" s="46"/>
      <c r="CB14" s="46"/>
      <c r="CC14" s="46"/>
      <c r="CD14" s="46"/>
      <c r="CE14" s="48"/>
      <c r="CF14" s="46"/>
      <c r="CG14" s="46"/>
      <c r="CH14" s="46"/>
      <c r="CI14" s="46"/>
      <c r="CJ14" s="46"/>
      <c r="CK14" s="48"/>
      <c r="CL14" s="47"/>
      <c r="CM14" s="47"/>
      <c r="CN14" s="47"/>
      <c r="CO14" s="47"/>
      <c r="CP14" s="47"/>
      <c r="CQ14" s="47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8"/>
      <c r="DD14" s="39"/>
      <c r="DE14" s="39"/>
      <c r="DF14" s="39">
        <f>+HLOOKUP('Reporte Evolución Mensual'!$F$2,$CR$2:$DC$371, Input!$DG14, FALSE)</f>
        <v>17021874.475000001</v>
      </c>
      <c r="DG14" s="49">
        <v>14</v>
      </c>
      <c r="DH14" s="48"/>
      <c r="DI14" s="50"/>
      <c r="DJ14" s="50"/>
      <c r="DK14" s="50"/>
      <c r="DL14" s="50"/>
      <c r="DM14" s="50"/>
      <c r="DN14" s="50"/>
      <c r="DO14" s="41"/>
      <c r="DP14" s="41"/>
      <c r="DQ14" s="41"/>
      <c r="DR14" s="41"/>
      <c r="DS14" s="41"/>
      <c r="DT14" s="41"/>
      <c r="DU14" s="16"/>
      <c r="DV14" s="345"/>
    </row>
    <row r="15" spans="1:126" ht="15" customHeight="1" x14ac:dyDescent="0.3">
      <c r="A15" s="1" t="str">
        <f t="shared" si="0"/>
        <v>ADIFSE</v>
      </c>
      <c r="B15" s="1" t="str">
        <f t="shared" si="1"/>
        <v>ADIFSE</v>
      </c>
      <c r="C15" s="1" t="str">
        <f t="shared" si="2"/>
        <v>MAY</v>
      </c>
      <c r="D15" s="1" t="s">
        <v>163</v>
      </c>
      <c r="E15" s="30" t="str">
        <f>H15</f>
        <v>Ingresos por Servicios</v>
      </c>
      <c r="F15" s="31" t="s">
        <v>164</v>
      </c>
      <c r="G15" s="1" t="s">
        <v>162</v>
      </c>
      <c r="H15" s="32" t="s">
        <v>165</v>
      </c>
      <c r="I15" s="32" t="s">
        <v>165</v>
      </c>
      <c r="J15" s="32" t="s">
        <v>166</v>
      </c>
      <c r="K15" s="51">
        <v>40721168.439999998</v>
      </c>
      <c r="L15" s="51"/>
      <c r="M15" s="51">
        <v>100000000</v>
      </c>
      <c r="N15" s="51"/>
      <c r="O15" s="51"/>
      <c r="P15" s="51"/>
      <c r="Q15" s="35">
        <f>SUM(L15:P15)</f>
        <v>100000000</v>
      </c>
      <c r="R15" s="34"/>
      <c r="S15" s="33"/>
      <c r="T15" s="33"/>
      <c r="U15" s="34"/>
      <c r="V15" s="34"/>
      <c r="W15" s="52">
        <f>SUM(R15:V15)</f>
        <v>0</v>
      </c>
      <c r="X15" s="34"/>
      <c r="Y15" s="33">
        <v>4606121.666666666</v>
      </c>
      <c r="Z15" s="33"/>
      <c r="AA15" s="34"/>
      <c r="AB15" s="34"/>
      <c r="AC15" s="52">
        <f>SUM(X15:AB15)</f>
        <v>4606121.666666666</v>
      </c>
      <c r="AD15" s="34"/>
      <c r="AE15" s="33">
        <v>9436121.6666666679</v>
      </c>
      <c r="AF15" s="33"/>
      <c r="AG15" s="34"/>
      <c r="AH15" s="34"/>
      <c r="AI15" s="52">
        <f>SUM(AD15:AH15)</f>
        <v>9436121.6666666679</v>
      </c>
      <c r="AJ15" s="34"/>
      <c r="AK15" s="33">
        <f>+'[2]GEAF - Proy Mensual de Ing 2017'!$I$11</f>
        <v>9403129.1999999993</v>
      </c>
      <c r="AL15" s="33"/>
      <c r="AM15" s="34"/>
      <c r="AN15" s="34"/>
      <c r="AO15" s="52">
        <f>SUM(AJ15:AN15)</f>
        <v>9403129.1999999993</v>
      </c>
      <c r="AP15" s="34"/>
      <c r="AQ15" s="33">
        <v>17021874.475000001</v>
      </c>
      <c r="AR15" s="33"/>
      <c r="AS15" s="34"/>
      <c r="AT15" s="34"/>
      <c r="AU15" s="52">
        <f>SUM(AP15:AT15)</f>
        <v>17021874.475000001</v>
      </c>
      <c r="AV15" s="34"/>
      <c r="AW15" s="33">
        <f>+[3]TD!$G$2</f>
        <v>2250750</v>
      </c>
      <c r="AX15" s="33"/>
      <c r="AY15" s="34"/>
      <c r="AZ15" s="34"/>
      <c r="BA15" s="52">
        <f>SUM(AV15:AZ15)</f>
        <v>2250750</v>
      </c>
      <c r="BB15" s="34"/>
      <c r="BC15" s="33">
        <f>+[3]TD!$H$2</f>
        <v>142197150</v>
      </c>
      <c r="BD15" s="33"/>
      <c r="BE15" s="34"/>
      <c r="BF15" s="34"/>
      <c r="BG15" s="52">
        <f>SUM(BB15:BF15)</f>
        <v>142197150</v>
      </c>
      <c r="BH15" s="34"/>
      <c r="BI15" s="33">
        <f>+[3]TD!$I$2</f>
        <v>10144924.375</v>
      </c>
      <c r="BJ15" s="33"/>
      <c r="BK15" s="34"/>
      <c r="BL15" s="34"/>
      <c r="BM15" s="52">
        <f>SUM(BH15:BL15)</f>
        <v>10144924.375</v>
      </c>
      <c r="BN15" s="34"/>
      <c r="BO15" s="33">
        <f>+[3]TD!$J$2</f>
        <v>7794847.3499999996</v>
      </c>
      <c r="BP15" s="33"/>
      <c r="BQ15" s="34"/>
      <c r="BR15" s="34"/>
      <c r="BS15" s="52">
        <f>SUM(BN15:BR15)</f>
        <v>7794847.3499999996</v>
      </c>
      <c r="BT15" s="34"/>
      <c r="BU15" s="33">
        <f>+[3]TD!$K$2</f>
        <v>16066952.449999999</v>
      </c>
      <c r="BV15" s="33"/>
      <c r="BW15" s="34"/>
      <c r="BX15" s="34"/>
      <c r="BY15" s="52">
        <f>SUM(BT15:BX15)</f>
        <v>16066952.449999999</v>
      </c>
      <c r="BZ15" s="34"/>
      <c r="CA15" s="33">
        <f>+[3]TD!$L$2</f>
        <v>4305900</v>
      </c>
      <c r="CB15" s="33"/>
      <c r="CC15" s="34"/>
      <c r="CD15" s="34"/>
      <c r="CE15" s="52">
        <f>SUM(BZ15:CD15)</f>
        <v>4305900</v>
      </c>
      <c r="CF15" s="34"/>
      <c r="CG15" s="449">
        <f>+[3]TD!$M$2</f>
        <v>4495150</v>
      </c>
      <c r="CH15" s="33"/>
      <c r="CI15" s="34"/>
      <c r="CJ15" s="34"/>
      <c r="CK15" s="52">
        <f>SUM(CF15:CJ15)</f>
        <v>4495150</v>
      </c>
      <c r="CL15" s="35">
        <f t="shared" ref="CL15:CQ69" si="9">+R15+X15+AD15+AJ15+AP15+AV15+BB15+BH15+BN15+BT15+BZ15+CF15</f>
        <v>0</v>
      </c>
      <c r="CM15" s="35">
        <f t="shared" si="9"/>
        <v>227722921.18333331</v>
      </c>
      <c r="CN15" s="35">
        <f t="shared" si="9"/>
        <v>0</v>
      </c>
      <c r="CO15" s="35">
        <f t="shared" si="9"/>
        <v>0</v>
      </c>
      <c r="CP15" s="35">
        <f t="shared" si="9"/>
        <v>0</v>
      </c>
      <c r="CQ15" s="35">
        <f t="shared" si="9"/>
        <v>227722921.18333331</v>
      </c>
      <c r="CR15" s="37">
        <f t="shared" ref="CR15:CR20" si="10">+W15</f>
        <v>0</v>
      </c>
      <c r="CS15" s="39">
        <f>+AC15</f>
        <v>4606121.666666666</v>
      </c>
      <c r="CT15" s="53">
        <f>+AI15</f>
        <v>9436121.6666666679</v>
      </c>
      <c r="CU15" s="39">
        <f>+AO15</f>
        <v>9403129.1999999993</v>
      </c>
      <c r="CV15" s="39">
        <f>+AU15</f>
        <v>17021874.475000001</v>
      </c>
      <c r="CW15" s="39">
        <f>+BA15</f>
        <v>2250750</v>
      </c>
      <c r="CX15" s="39">
        <f>+BG15</f>
        <v>142197150</v>
      </c>
      <c r="CY15" s="39">
        <f>+BM15</f>
        <v>10144924.375</v>
      </c>
      <c r="CZ15" s="39">
        <f>+BS15</f>
        <v>7794847.3499999996</v>
      </c>
      <c r="DA15" s="39">
        <f>+BY15</f>
        <v>16066952.449999999</v>
      </c>
      <c r="DB15" s="39">
        <f>+CE15</f>
        <v>4305900</v>
      </c>
      <c r="DC15" s="39">
        <f>+CK15</f>
        <v>4495150</v>
      </c>
      <c r="DD15" s="39">
        <f>+HLOOKUP('Reporte Evolución Mensual'!$F$2-2,$CR$2:$DC$251, Input!$DG15, FALSE)</f>
        <v>6000000</v>
      </c>
      <c r="DE15" s="39">
        <f>+HLOOKUP('Reporte Evolución Mensual'!$F$2-1,$CR$2:$DC$251, Input!$DG15, FALSE)</f>
        <v>5739703.4516249998</v>
      </c>
      <c r="DF15" s="39">
        <f>+HLOOKUP('Reporte Evolución Mensual'!$F$2,$CR$2:$DC$371, Input!$DG15, FALSE)</f>
        <v>5739703.4516249998</v>
      </c>
      <c r="DG15" s="40">
        <v>15</v>
      </c>
      <c r="DH15" s="39"/>
      <c r="DI15" s="37">
        <f t="shared" ref="DI15:DI20" si="11">+CR15</f>
        <v>0</v>
      </c>
      <c r="DJ15" s="37">
        <f t="shared" ref="DJ15:DT20" si="12">+DI15+CS15</f>
        <v>4606121.666666666</v>
      </c>
      <c r="DK15" s="37">
        <f t="shared" si="12"/>
        <v>14042243.333333334</v>
      </c>
      <c r="DL15" s="37">
        <f t="shared" si="12"/>
        <v>23445372.533333331</v>
      </c>
      <c r="DM15" s="37">
        <f t="shared" si="12"/>
        <v>40467247.008333333</v>
      </c>
      <c r="DN15" s="37">
        <f t="shared" si="12"/>
        <v>42717997.008333333</v>
      </c>
      <c r="DO15" s="37">
        <f t="shared" si="12"/>
        <v>184915147.00833333</v>
      </c>
      <c r="DP15" s="37">
        <f t="shared" si="12"/>
        <v>195060071.38333333</v>
      </c>
      <c r="DQ15" s="37">
        <f t="shared" si="12"/>
        <v>202854918.73333332</v>
      </c>
      <c r="DR15" s="37">
        <f t="shared" si="12"/>
        <v>218921871.18333331</v>
      </c>
      <c r="DS15" s="37">
        <f t="shared" si="12"/>
        <v>223227771.18333331</v>
      </c>
      <c r="DT15" s="37">
        <f t="shared" si="12"/>
        <v>227722921.18333331</v>
      </c>
      <c r="DU15" s="16"/>
      <c r="DV15" s="345" t="s">
        <v>163</v>
      </c>
    </row>
    <row r="16" spans="1:126" ht="15" customHeight="1" x14ac:dyDescent="0.3">
      <c r="A16" s="1" t="str">
        <f t="shared" si="0"/>
        <v>ADIFSE</v>
      </c>
      <c r="B16" s="1" t="str">
        <f t="shared" si="1"/>
        <v>ADIFSE</v>
      </c>
      <c r="C16" s="1" t="str">
        <f t="shared" si="2"/>
        <v>MAY</v>
      </c>
      <c r="D16" s="1" t="s">
        <v>163</v>
      </c>
      <c r="E16" s="30" t="str">
        <f>H16</f>
        <v>Tasas y Aranceles</v>
      </c>
      <c r="F16" s="31">
        <v>12</v>
      </c>
      <c r="G16" s="1" t="s">
        <v>162</v>
      </c>
      <c r="H16" s="32" t="s">
        <v>167</v>
      </c>
      <c r="I16" s="32" t="s">
        <v>167</v>
      </c>
      <c r="J16" s="32" t="s">
        <v>166</v>
      </c>
      <c r="K16" s="51"/>
      <c r="L16" s="51"/>
      <c r="M16" s="51">
        <v>20000000</v>
      </c>
      <c r="N16" s="51"/>
      <c r="O16" s="51"/>
      <c r="P16" s="51"/>
      <c r="Q16" s="35">
        <f t="shared" ref="Q16:Q84" si="13">SUM(L16:P16)</f>
        <v>20000000</v>
      </c>
      <c r="R16" s="34"/>
      <c r="S16" s="51"/>
      <c r="T16" s="51"/>
      <c r="U16" s="34"/>
      <c r="V16" s="34"/>
      <c r="W16" s="52">
        <f t="shared" ref="W16:W84" si="14">SUM(R16:V16)</f>
        <v>0</v>
      </c>
      <c r="X16" s="34"/>
      <c r="Y16" s="51">
        <v>8100000</v>
      </c>
      <c r="Z16" s="51"/>
      <c r="AA16" s="34"/>
      <c r="AB16" s="34"/>
      <c r="AC16" s="52">
        <f t="shared" ref="AC16:AC84" si="15">SUM(X16:AB16)</f>
        <v>8100000</v>
      </c>
      <c r="AD16" s="34"/>
      <c r="AE16" s="51">
        <v>6000000</v>
      </c>
      <c r="AF16" s="51"/>
      <c r="AG16" s="34"/>
      <c r="AH16" s="34"/>
      <c r="AI16" s="52">
        <f t="shared" ref="AI16:AI84" si="16">SUM(AD16:AH16)</f>
        <v>6000000</v>
      </c>
      <c r="AJ16" s="34"/>
      <c r="AK16" s="51">
        <v>5739703.4516249998</v>
      </c>
      <c r="AL16" s="51"/>
      <c r="AM16" s="34"/>
      <c r="AN16" s="34"/>
      <c r="AO16" s="52">
        <f t="shared" ref="AO16:AO84" si="17">SUM(AJ16:AN16)</f>
        <v>5739703.4516249998</v>
      </c>
      <c r="AP16" s="34"/>
      <c r="AQ16" s="51">
        <v>5739703.4516249998</v>
      </c>
      <c r="AR16" s="51"/>
      <c r="AS16" s="34"/>
      <c r="AT16" s="34"/>
      <c r="AU16" s="52">
        <f t="shared" ref="AU16:AU84" si="18">SUM(AP16:AT16)</f>
        <v>5739703.4516249998</v>
      </c>
      <c r="AV16" s="34"/>
      <c r="AW16" s="51">
        <f>+AQ16</f>
        <v>5739703.4516249998</v>
      </c>
      <c r="AX16" s="51"/>
      <c r="AY16" s="34"/>
      <c r="AZ16" s="34"/>
      <c r="BA16" s="52">
        <f t="shared" ref="BA16:BA84" si="19">SUM(AV16:AZ16)</f>
        <v>5739703.4516249998</v>
      </c>
      <c r="BB16" s="34"/>
      <c r="BC16" s="51">
        <f>+AW16</f>
        <v>5739703.4516249998</v>
      </c>
      <c r="BD16" s="51"/>
      <c r="BE16" s="34"/>
      <c r="BF16" s="34"/>
      <c r="BG16" s="52">
        <f t="shared" ref="BG16:BG84" si="20">SUM(BB16:BF16)</f>
        <v>5739703.4516249998</v>
      </c>
      <c r="BH16" s="34"/>
      <c r="BI16" s="51">
        <f>+BC16+1000000</f>
        <v>6739703.4516249998</v>
      </c>
      <c r="BJ16" s="51"/>
      <c r="BK16" s="34"/>
      <c r="BL16" s="34"/>
      <c r="BM16" s="52">
        <f t="shared" ref="BM16:BM84" si="21">SUM(BH16:BL16)</f>
        <v>6739703.4516249998</v>
      </c>
      <c r="BN16" s="34"/>
      <c r="BO16" s="51">
        <v>6266225.6099999994</v>
      </c>
      <c r="BP16" s="51"/>
      <c r="BQ16" s="34"/>
      <c r="BR16" s="34"/>
      <c r="BS16" s="52">
        <f t="shared" ref="BS16:BS84" si="22">SUM(BN16:BR16)</f>
        <v>6266225.6099999994</v>
      </c>
      <c r="BT16" s="34"/>
      <c r="BU16" s="448">
        <v>3100000</v>
      </c>
      <c r="BV16" s="51"/>
      <c r="BW16" s="34"/>
      <c r="BX16" s="34"/>
      <c r="BY16" s="52">
        <f t="shared" ref="BY16:BY84" si="23">SUM(BT16:BX16)</f>
        <v>3100000</v>
      </c>
      <c r="BZ16" s="34"/>
      <c r="CA16" s="51"/>
      <c r="CB16" s="51"/>
      <c r="CC16" s="34"/>
      <c r="CD16" s="34"/>
      <c r="CE16" s="52">
        <f t="shared" ref="CE16:CE84" si="24">SUM(BZ16:CD16)</f>
        <v>0</v>
      </c>
      <c r="CF16" s="34"/>
      <c r="CG16" s="51"/>
      <c r="CH16" s="51"/>
      <c r="CI16" s="34"/>
      <c r="CJ16" s="34"/>
      <c r="CK16" s="52">
        <f t="shared" ref="CK16:CK84" si="25">SUM(CF16:CJ16)</f>
        <v>0</v>
      </c>
      <c r="CL16" s="35">
        <f t="shared" si="9"/>
        <v>0</v>
      </c>
      <c r="CM16" s="35">
        <f t="shared" si="9"/>
        <v>53164742.868124999</v>
      </c>
      <c r="CN16" s="35">
        <f t="shared" si="9"/>
        <v>0</v>
      </c>
      <c r="CO16" s="35">
        <f t="shared" si="9"/>
        <v>0</v>
      </c>
      <c r="CP16" s="35">
        <f t="shared" si="9"/>
        <v>0</v>
      </c>
      <c r="CQ16" s="35">
        <f t="shared" si="9"/>
        <v>53164742.868124999</v>
      </c>
      <c r="CR16" s="37">
        <f t="shared" si="10"/>
        <v>0</v>
      </c>
      <c r="CS16" s="39">
        <f t="shared" ref="CS16:CS20" si="26">+AC16</f>
        <v>8100000</v>
      </c>
      <c r="CT16" s="53">
        <f t="shared" ref="CT16:CT20" si="27">+AI16</f>
        <v>6000000</v>
      </c>
      <c r="CU16" s="39">
        <f t="shared" ref="CU16:CU20" si="28">+AO16</f>
        <v>5739703.4516249998</v>
      </c>
      <c r="CV16" s="39">
        <f t="shared" ref="CV16:CV20" si="29">+AU16</f>
        <v>5739703.4516249998</v>
      </c>
      <c r="CW16" s="39">
        <f t="shared" ref="CW16:CW20" si="30">+BA16</f>
        <v>5739703.4516249998</v>
      </c>
      <c r="CX16" s="39">
        <f t="shared" ref="CX16:CX20" si="31">+BG16</f>
        <v>5739703.4516249998</v>
      </c>
      <c r="CY16" s="39">
        <f t="shared" ref="CY16:CY20" si="32">+BM16</f>
        <v>6739703.4516249998</v>
      </c>
      <c r="CZ16" s="39">
        <f t="shared" ref="CZ16:CZ20" si="33">+BS16</f>
        <v>6266225.6099999994</v>
      </c>
      <c r="DA16" s="39">
        <f t="shared" ref="DA16:DA20" si="34">+BY16</f>
        <v>3100000</v>
      </c>
      <c r="DB16" s="39">
        <f t="shared" ref="DB16:DB20" si="35">+CE16</f>
        <v>0</v>
      </c>
      <c r="DC16" s="39">
        <f t="shared" ref="DC16:DC20" si="36">+CK16</f>
        <v>0</v>
      </c>
      <c r="DD16" s="39">
        <f>+HLOOKUP('Reporte Evolución Mensual'!$F$2-2,$CR$2:$DC$251, Input!$DG16, FALSE)</f>
        <v>0</v>
      </c>
      <c r="DE16" s="39">
        <f>+HLOOKUP('Reporte Evolución Mensual'!$F$2-1,$CR$2:$DC$251, Input!$DG16, FALSE)</f>
        <v>0</v>
      </c>
      <c r="DF16" s="39">
        <f>+HLOOKUP('Reporte Evolución Mensual'!$F$2,$CR$2:$DC$371, Input!$DG16, FALSE)</f>
        <v>0</v>
      </c>
      <c r="DG16" s="40">
        <f>+DG15+1</f>
        <v>16</v>
      </c>
      <c r="DH16" s="39"/>
      <c r="DI16" s="37">
        <f t="shared" si="11"/>
        <v>0</v>
      </c>
      <c r="DJ16" s="37">
        <f t="shared" si="12"/>
        <v>8100000</v>
      </c>
      <c r="DK16" s="37">
        <f t="shared" si="12"/>
        <v>14100000</v>
      </c>
      <c r="DL16" s="37">
        <f t="shared" si="12"/>
        <v>19839703.451625001</v>
      </c>
      <c r="DM16" s="37">
        <f t="shared" si="12"/>
        <v>25579406.903250001</v>
      </c>
      <c r="DN16" s="37">
        <f t="shared" si="12"/>
        <v>31319110.354875002</v>
      </c>
      <c r="DO16" s="37">
        <f t="shared" si="12"/>
        <v>37058813.806500003</v>
      </c>
      <c r="DP16" s="37">
        <f t="shared" si="12"/>
        <v>43798517.258125</v>
      </c>
      <c r="DQ16" s="37">
        <f t="shared" si="12"/>
        <v>50064742.868124999</v>
      </c>
      <c r="DR16" s="37">
        <f t="shared" si="12"/>
        <v>53164742.868124999</v>
      </c>
      <c r="DS16" s="37">
        <f t="shared" si="12"/>
        <v>53164742.868124999</v>
      </c>
      <c r="DT16" s="37">
        <f t="shared" si="12"/>
        <v>53164742.868124999</v>
      </c>
      <c r="DU16" s="16"/>
      <c r="DV16" s="345" t="s">
        <v>163</v>
      </c>
    </row>
    <row r="17" spans="1:126" ht="15" customHeight="1" x14ac:dyDescent="0.3">
      <c r="A17" s="1" t="str">
        <f t="shared" si="0"/>
        <v>ADIFSE</v>
      </c>
      <c r="B17" s="1" t="str">
        <f t="shared" si="1"/>
        <v>ADIFSE</v>
      </c>
      <c r="C17" s="1" t="str">
        <f t="shared" si="2"/>
        <v>MAY</v>
      </c>
      <c r="D17" s="1" t="s">
        <v>163</v>
      </c>
      <c r="E17" s="30" t="str">
        <f>H17</f>
        <v>Ingresos Tributarios</v>
      </c>
      <c r="F17" s="31">
        <v>11</v>
      </c>
      <c r="G17" s="1" t="s">
        <v>162</v>
      </c>
      <c r="H17" s="32" t="s">
        <v>168</v>
      </c>
      <c r="I17" s="32" t="s">
        <v>168</v>
      </c>
      <c r="J17" s="32" t="s">
        <v>166</v>
      </c>
      <c r="K17" s="51"/>
      <c r="L17" s="51"/>
      <c r="M17" s="51"/>
      <c r="N17" s="51"/>
      <c r="O17" s="51"/>
      <c r="P17" s="51"/>
      <c r="Q17" s="35">
        <f t="shared" si="13"/>
        <v>0</v>
      </c>
      <c r="R17" s="34"/>
      <c r="S17" s="51"/>
      <c r="T17" s="51"/>
      <c r="U17" s="34"/>
      <c r="V17" s="34"/>
      <c r="W17" s="52">
        <f t="shared" si="14"/>
        <v>0</v>
      </c>
      <c r="X17" s="34"/>
      <c r="Y17" s="51"/>
      <c r="Z17" s="51"/>
      <c r="AA17" s="34"/>
      <c r="AB17" s="34"/>
      <c r="AC17" s="52">
        <f t="shared" si="15"/>
        <v>0</v>
      </c>
      <c r="AD17" s="34"/>
      <c r="AE17" s="51"/>
      <c r="AF17" s="51"/>
      <c r="AG17" s="34"/>
      <c r="AH17" s="34"/>
      <c r="AI17" s="52">
        <f t="shared" si="16"/>
        <v>0</v>
      </c>
      <c r="AJ17" s="34"/>
      <c r="AK17" s="51"/>
      <c r="AL17" s="51"/>
      <c r="AM17" s="34"/>
      <c r="AN17" s="34"/>
      <c r="AO17" s="52">
        <f t="shared" si="17"/>
        <v>0</v>
      </c>
      <c r="AP17" s="34"/>
      <c r="AQ17" s="51"/>
      <c r="AR17" s="51"/>
      <c r="AS17" s="34"/>
      <c r="AT17" s="34"/>
      <c r="AU17" s="52">
        <f t="shared" si="18"/>
        <v>0</v>
      </c>
      <c r="AV17" s="34"/>
      <c r="AW17" s="51"/>
      <c r="AX17" s="51"/>
      <c r="AY17" s="34"/>
      <c r="AZ17" s="34"/>
      <c r="BA17" s="52">
        <f>SUM(AV17:AZ17)</f>
        <v>0</v>
      </c>
      <c r="BB17" s="34"/>
      <c r="BC17" s="51"/>
      <c r="BD17" s="51"/>
      <c r="BE17" s="34"/>
      <c r="BF17" s="34"/>
      <c r="BG17" s="52">
        <f t="shared" si="20"/>
        <v>0</v>
      </c>
      <c r="BH17" s="34"/>
      <c r="BI17" s="51"/>
      <c r="BJ17" s="51"/>
      <c r="BK17" s="34"/>
      <c r="BL17" s="34"/>
      <c r="BM17" s="52">
        <f t="shared" si="21"/>
        <v>0</v>
      </c>
      <c r="BN17" s="34"/>
      <c r="BO17" s="51"/>
      <c r="BP17" s="51"/>
      <c r="BQ17" s="34"/>
      <c r="BR17" s="34"/>
      <c r="BS17" s="52">
        <f t="shared" si="22"/>
        <v>0</v>
      </c>
      <c r="BT17" s="34"/>
      <c r="BU17" s="51"/>
      <c r="BV17" s="51"/>
      <c r="BW17" s="34"/>
      <c r="BX17" s="34"/>
      <c r="BY17" s="52">
        <f t="shared" si="23"/>
        <v>0</v>
      </c>
      <c r="BZ17" s="34"/>
      <c r="CA17" s="51"/>
      <c r="CB17" s="51"/>
      <c r="CC17" s="34"/>
      <c r="CD17" s="34"/>
      <c r="CE17" s="52">
        <f t="shared" si="24"/>
        <v>0</v>
      </c>
      <c r="CF17" s="34"/>
      <c r="CG17" s="51"/>
      <c r="CH17" s="51"/>
      <c r="CI17" s="34"/>
      <c r="CJ17" s="34"/>
      <c r="CK17" s="52">
        <f t="shared" si="25"/>
        <v>0</v>
      </c>
      <c r="CL17" s="35">
        <f t="shared" si="9"/>
        <v>0</v>
      </c>
      <c r="CM17" s="35">
        <f>+S17+Y17+AE17+AK17+AQ17+AW17+BC17+BI17+BO17+BU17+CA17+CG17</f>
        <v>0</v>
      </c>
      <c r="CN17" s="35">
        <f>+T17+Z17+AF17+AL17+AR17+AX17+BD17+BJ17+BP17+BV17+CB17+CH17</f>
        <v>0</v>
      </c>
      <c r="CO17" s="35">
        <f>+U17+AA17+AG17+AM17+AS17+AY17+BE17+BK17+BQ17+BW17+CC17+CI17</f>
        <v>0</v>
      </c>
      <c r="CP17" s="35">
        <f>+V17+AB17+AH17+AN17+AT17+AZ17+BF17+BL17+BR17+BX17+CD17+CJ17</f>
        <v>0</v>
      </c>
      <c r="CQ17" s="35">
        <f t="shared" si="9"/>
        <v>0</v>
      </c>
      <c r="CR17" s="37">
        <f t="shared" si="10"/>
        <v>0</v>
      </c>
      <c r="CS17" s="39">
        <f t="shared" si="26"/>
        <v>0</v>
      </c>
      <c r="CT17" s="53">
        <f t="shared" si="27"/>
        <v>0</v>
      </c>
      <c r="CU17" s="39">
        <f t="shared" si="28"/>
        <v>0</v>
      </c>
      <c r="CV17" s="39">
        <f t="shared" si="29"/>
        <v>0</v>
      </c>
      <c r="CW17" s="39">
        <f t="shared" si="30"/>
        <v>0</v>
      </c>
      <c r="CX17" s="39">
        <f t="shared" si="31"/>
        <v>0</v>
      </c>
      <c r="CY17" s="39">
        <f t="shared" si="32"/>
        <v>0</v>
      </c>
      <c r="CZ17" s="39">
        <f t="shared" si="33"/>
        <v>0</v>
      </c>
      <c r="DA17" s="39">
        <f t="shared" si="34"/>
        <v>0</v>
      </c>
      <c r="DB17" s="39">
        <f t="shared" si="35"/>
        <v>0</v>
      </c>
      <c r="DC17" s="39">
        <f t="shared" si="36"/>
        <v>0</v>
      </c>
      <c r="DD17" s="39">
        <f>+HLOOKUP('Reporte Evolución Mensual'!$F$2-2,$CR$2:$DC$251, Input!$DG17, FALSE)</f>
        <v>0</v>
      </c>
      <c r="DE17" s="39">
        <f>+HLOOKUP('Reporte Evolución Mensual'!$F$2-1,$CR$2:$DC$251, Input!$DG17, FALSE)</f>
        <v>1898000</v>
      </c>
      <c r="DF17" s="39">
        <f>+HLOOKUP('Reporte Evolución Mensual'!$F$2,$CR$2:$DC$371, Input!$DG17, FALSE)</f>
        <v>0</v>
      </c>
      <c r="DG17" s="40">
        <f t="shared" ref="DG17:DG80" si="37">+DG16+1</f>
        <v>17</v>
      </c>
      <c r="DH17" s="39"/>
      <c r="DI17" s="37">
        <f t="shared" si="11"/>
        <v>0</v>
      </c>
      <c r="DJ17" s="37">
        <f t="shared" si="12"/>
        <v>0</v>
      </c>
      <c r="DK17" s="37">
        <f t="shared" si="12"/>
        <v>0</v>
      </c>
      <c r="DL17" s="37">
        <f t="shared" si="12"/>
        <v>0</v>
      </c>
      <c r="DM17" s="37">
        <f t="shared" si="12"/>
        <v>0</v>
      </c>
      <c r="DN17" s="37">
        <f t="shared" si="12"/>
        <v>0</v>
      </c>
      <c r="DO17" s="37">
        <f t="shared" si="12"/>
        <v>0</v>
      </c>
      <c r="DP17" s="37">
        <f t="shared" si="12"/>
        <v>0</v>
      </c>
      <c r="DQ17" s="37">
        <f t="shared" si="12"/>
        <v>0</v>
      </c>
      <c r="DR17" s="37">
        <f t="shared" si="12"/>
        <v>0</v>
      </c>
      <c r="DS17" s="37">
        <f t="shared" si="12"/>
        <v>0</v>
      </c>
      <c r="DT17" s="37">
        <f t="shared" si="12"/>
        <v>0</v>
      </c>
      <c r="DU17" s="16"/>
      <c r="DV17" s="345" t="s">
        <v>163</v>
      </c>
    </row>
    <row r="18" spans="1:126" ht="15" customHeight="1" x14ac:dyDescent="0.3">
      <c r="A18" s="1" t="str">
        <f t="shared" si="0"/>
        <v>ADIFSE</v>
      </c>
      <c r="B18" s="1" t="str">
        <f t="shared" si="1"/>
        <v>ADIFSE</v>
      </c>
      <c r="C18" s="1" t="str">
        <f t="shared" si="2"/>
        <v>MAY</v>
      </c>
      <c r="D18" s="1" t="s">
        <v>163</v>
      </c>
      <c r="E18" s="30" t="str">
        <f>H18</f>
        <v>Intereses</v>
      </c>
      <c r="F18" s="31" t="s">
        <v>169</v>
      </c>
      <c r="G18" s="1" t="s">
        <v>162</v>
      </c>
      <c r="H18" s="32" t="s">
        <v>170</v>
      </c>
      <c r="I18" s="32" t="s">
        <v>170</v>
      </c>
      <c r="J18" s="32" t="s">
        <v>166</v>
      </c>
      <c r="K18" s="51"/>
      <c r="L18" s="51"/>
      <c r="M18" s="51"/>
      <c r="N18" s="51"/>
      <c r="O18" s="51"/>
      <c r="P18" s="51"/>
      <c r="Q18" s="35">
        <f t="shared" si="13"/>
        <v>0</v>
      </c>
      <c r="R18" s="34"/>
      <c r="S18" s="51"/>
      <c r="T18" s="51"/>
      <c r="U18" s="34"/>
      <c r="V18" s="34"/>
      <c r="W18" s="52">
        <f t="shared" si="14"/>
        <v>0</v>
      </c>
      <c r="X18" s="34"/>
      <c r="Y18" s="51"/>
      <c r="Z18" s="51"/>
      <c r="AA18" s="34"/>
      <c r="AB18" s="34"/>
      <c r="AC18" s="52">
        <f t="shared" si="15"/>
        <v>0</v>
      </c>
      <c r="AD18" s="34"/>
      <c r="AE18" s="51">
        <f>+Y18</f>
        <v>0</v>
      </c>
      <c r="AF18" s="51"/>
      <c r="AG18" s="34"/>
      <c r="AH18" s="34"/>
      <c r="AI18" s="52">
        <f t="shared" si="16"/>
        <v>0</v>
      </c>
      <c r="AJ18" s="34"/>
      <c r="AK18" s="51">
        <v>1898000</v>
      </c>
      <c r="AL18" s="51"/>
      <c r="AM18" s="34"/>
      <c r="AN18" s="34"/>
      <c r="AO18" s="52">
        <f t="shared" si="17"/>
        <v>1898000</v>
      </c>
      <c r="AP18" s="34"/>
      <c r="AQ18" s="51"/>
      <c r="AR18" s="51"/>
      <c r="AS18" s="34"/>
      <c r="AT18" s="34"/>
      <c r="AU18" s="52">
        <f t="shared" si="18"/>
        <v>0</v>
      </c>
      <c r="AV18" s="34"/>
      <c r="AW18" s="51">
        <f>+AQ18</f>
        <v>0</v>
      </c>
      <c r="AX18" s="51"/>
      <c r="AY18" s="34"/>
      <c r="AZ18" s="34"/>
      <c r="BA18" s="52">
        <f t="shared" si="19"/>
        <v>0</v>
      </c>
      <c r="BB18" s="34"/>
      <c r="BC18" s="51">
        <f>+AW18</f>
        <v>0</v>
      </c>
      <c r="BD18" s="51"/>
      <c r="BE18" s="34"/>
      <c r="BF18" s="34"/>
      <c r="BG18" s="52">
        <f t="shared" si="20"/>
        <v>0</v>
      </c>
      <c r="BH18" s="34"/>
      <c r="BI18" s="51">
        <f>+BC18</f>
        <v>0</v>
      </c>
      <c r="BJ18" s="51"/>
      <c r="BK18" s="34"/>
      <c r="BL18" s="34"/>
      <c r="BM18" s="52">
        <f t="shared" si="21"/>
        <v>0</v>
      </c>
      <c r="BN18" s="34"/>
      <c r="BO18" s="51">
        <f>+BI18</f>
        <v>0</v>
      </c>
      <c r="BP18" s="51"/>
      <c r="BQ18" s="34"/>
      <c r="BR18" s="34"/>
      <c r="BS18" s="52">
        <f t="shared" si="22"/>
        <v>0</v>
      </c>
      <c r="BT18" s="34"/>
      <c r="BU18" s="51">
        <f>+BO18</f>
        <v>0</v>
      </c>
      <c r="BV18" s="51"/>
      <c r="BW18" s="34"/>
      <c r="BX18" s="34"/>
      <c r="BY18" s="52">
        <f t="shared" si="23"/>
        <v>0</v>
      </c>
      <c r="BZ18" s="34"/>
      <c r="CA18" s="51">
        <f>+BU18</f>
        <v>0</v>
      </c>
      <c r="CB18" s="51"/>
      <c r="CC18" s="34"/>
      <c r="CD18" s="34"/>
      <c r="CE18" s="52">
        <f t="shared" si="24"/>
        <v>0</v>
      </c>
      <c r="CF18" s="34"/>
      <c r="CG18" s="51">
        <f>+CA18</f>
        <v>0</v>
      </c>
      <c r="CH18" s="51"/>
      <c r="CI18" s="34"/>
      <c r="CJ18" s="34"/>
      <c r="CK18" s="52">
        <f t="shared" si="25"/>
        <v>0</v>
      </c>
      <c r="CL18" s="35">
        <f t="shared" si="9"/>
        <v>0</v>
      </c>
      <c r="CM18" s="35">
        <f t="shared" si="9"/>
        <v>1898000</v>
      </c>
      <c r="CN18" s="35">
        <f t="shared" si="9"/>
        <v>0</v>
      </c>
      <c r="CO18" s="35">
        <f t="shared" si="9"/>
        <v>0</v>
      </c>
      <c r="CP18" s="35">
        <f t="shared" si="9"/>
        <v>0</v>
      </c>
      <c r="CQ18" s="35">
        <f t="shared" si="9"/>
        <v>1898000</v>
      </c>
      <c r="CR18" s="37">
        <f t="shared" si="10"/>
        <v>0</v>
      </c>
      <c r="CS18" s="39">
        <f t="shared" si="26"/>
        <v>0</v>
      </c>
      <c r="CT18" s="53">
        <f t="shared" si="27"/>
        <v>0</v>
      </c>
      <c r="CU18" s="39">
        <f t="shared" si="28"/>
        <v>1898000</v>
      </c>
      <c r="CV18" s="39">
        <f t="shared" si="29"/>
        <v>0</v>
      </c>
      <c r="CW18" s="39">
        <f t="shared" si="30"/>
        <v>0</v>
      </c>
      <c r="CX18" s="39">
        <f t="shared" si="31"/>
        <v>0</v>
      </c>
      <c r="CY18" s="39">
        <f t="shared" si="32"/>
        <v>0</v>
      </c>
      <c r="CZ18" s="39">
        <f t="shared" si="33"/>
        <v>0</v>
      </c>
      <c r="DA18" s="39">
        <f t="shared" si="34"/>
        <v>0</v>
      </c>
      <c r="DB18" s="39">
        <f t="shared" si="35"/>
        <v>0</v>
      </c>
      <c r="DC18" s="39">
        <f t="shared" si="36"/>
        <v>0</v>
      </c>
      <c r="DD18" s="39">
        <f>+HLOOKUP('Reporte Evolución Mensual'!$F$2-2,$CR$2:$DC$251, Input!$DG18, FALSE)</f>
        <v>0</v>
      </c>
      <c r="DE18" s="39">
        <f>+HLOOKUP('Reporte Evolución Mensual'!$F$2-1,$CR$2:$DC$251, Input!$DG18, FALSE)</f>
        <v>0</v>
      </c>
      <c r="DF18" s="39">
        <f>+HLOOKUP('Reporte Evolución Mensual'!$F$2,$CR$2:$DC$371, Input!$DG18, FALSE)</f>
        <v>0</v>
      </c>
      <c r="DG18" s="40">
        <f t="shared" si="37"/>
        <v>18</v>
      </c>
      <c r="DH18" s="39"/>
      <c r="DI18" s="37">
        <f t="shared" si="11"/>
        <v>0</v>
      </c>
      <c r="DJ18" s="37">
        <f t="shared" si="12"/>
        <v>0</v>
      </c>
      <c r="DK18" s="37">
        <f t="shared" si="12"/>
        <v>0</v>
      </c>
      <c r="DL18" s="37">
        <f t="shared" si="12"/>
        <v>1898000</v>
      </c>
      <c r="DM18" s="37">
        <f t="shared" si="12"/>
        <v>1898000</v>
      </c>
      <c r="DN18" s="37">
        <f t="shared" si="12"/>
        <v>1898000</v>
      </c>
      <c r="DO18" s="37">
        <f t="shared" si="12"/>
        <v>1898000</v>
      </c>
      <c r="DP18" s="37">
        <f t="shared" si="12"/>
        <v>1898000</v>
      </c>
      <c r="DQ18" s="37">
        <f t="shared" si="12"/>
        <v>1898000</v>
      </c>
      <c r="DR18" s="37">
        <f t="shared" si="12"/>
        <v>1898000</v>
      </c>
      <c r="DS18" s="37">
        <f t="shared" si="12"/>
        <v>1898000</v>
      </c>
      <c r="DT18" s="37">
        <f t="shared" si="12"/>
        <v>1898000</v>
      </c>
      <c r="DU18" s="16"/>
      <c r="DV18" s="345" t="s">
        <v>163</v>
      </c>
    </row>
    <row r="19" spans="1:126" ht="15" customHeight="1" x14ac:dyDescent="0.3">
      <c r="A19" s="1" t="str">
        <f t="shared" si="0"/>
        <v>ADIFSE</v>
      </c>
      <c r="B19" s="1" t="str">
        <f t="shared" si="1"/>
        <v>ADIFSE</v>
      </c>
      <c r="C19" s="1" t="str">
        <f t="shared" si="2"/>
        <v>MAY</v>
      </c>
      <c r="D19" s="1" t="s">
        <v>163</v>
      </c>
      <c r="E19" s="30" t="str">
        <f>H19</f>
        <v>Otras Rentas de la Propiedad</v>
      </c>
      <c r="F19" s="31" t="s">
        <v>172</v>
      </c>
      <c r="G19" s="1" t="s">
        <v>162</v>
      </c>
      <c r="H19" s="32" t="s">
        <v>171</v>
      </c>
      <c r="I19" s="32" t="s">
        <v>171</v>
      </c>
      <c r="J19" s="32" t="s">
        <v>166</v>
      </c>
      <c r="K19" s="51"/>
      <c r="L19" s="51"/>
      <c r="M19" s="51"/>
      <c r="N19" s="51"/>
      <c r="O19" s="51"/>
      <c r="P19" s="51"/>
      <c r="Q19" s="35">
        <f t="shared" si="13"/>
        <v>0</v>
      </c>
      <c r="R19" s="34"/>
      <c r="S19" s="51"/>
      <c r="T19" s="51"/>
      <c r="U19" s="34"/>
      <c r="V19" s="34"/>
      <c r="W19" s="52">
        <f t="shared" si="14"/>
        <v>0</v>
      </c>
      <c r="X19" s="34"/>
      <c r="Y19" s="51"/>
      <c r="Z19" s="51"/>
      <c r="AA19" s="34"/>
      <c r="AB19" s="34"/>
      <c r="AC19" s="52">
        <f t="shared" si="15"/>
        <v>0</v>
      </c>
      <c r="AD19" s="34"/>
      <c r="AE19" s="51"/>
      <c r="AF19" s="51"/>
      <c r="AG19" s="34"/>
      <c r="AH19" s="34"/>
      <c r="AI19" s="52">
        <f t="shared" si="16"/>
        <v>0</v>
      </c>
      <c r="AJ19" s="34"/>
      <c r="AK19" s="51"/>
      <c r="AL19" s="51"/>
      <c r="AM19" s="34"/>
      <c r="AN19" s="34"/>
      <c r="AO19" s="52">
        <f t="shared" si="17"/>
        <v>0</v>
      </c>
      <c r="AP19" s="34"/>
      <c r="AQ19" s="51"/>
      <c r="AR19" s="51"/>
      <c r="AS19" s="34"/>
      <c r="AT19" s="34"/>
      <c r="AU19" s="52">
        <f t="shared" si="18"/>
        <v>0</v>
      </c>
      <c r="AV19" s="34"/>
      <c r="AW19" s="51"/>
      <c r="AX19" s="51"/>
      <c r="AY19" s="34"/>
      <c r="AZ19" s="34"/>
      <c r="BA19" s="52">
        <f t="shared" si="19"/>
        <v>0</v>
      </c>
      <c r="BB19" s="34"/>
      <c r="BC19" s="51"/>
      <c r="BD19" s="51"/>
      <c r="BE19" s="34"/>
      <c r="BF19" s="34"/>
      <c r="BG19" s="52">
        <f t="shared" si="20"/>
        <v>0</v>
      </c>
      <c r="BH19" s="34"/>
      <c r="BI19" s="51"/>
      <c r="BJ19" s="51"/>
      <c r="BK19" s="34"/>
      <c r="BL19" s="34"/>
      <c r="BM19" s="52">
        <f t="shared" si="21"/>
        <v>0</v>
      </c>
      <c r="BN19" s="34"/>
      <c r="BO19" s="51"/>
      <c r="BP19" s="51"/>
      <c r="BQ19" s="34"/>
      <c r="BR19" s="34"/>
      <c r="BS19" s="52">
        <f t="shared" si="22"/>
        <v>0</v>
      </c>
      <c r="BT19" s="34"/>
      <c r="BU19" s="51"/>
      <c r="BV19" s="51"/>
      <c r="BW19" s="34"/>
      <c r="BX19" s="34"/>
      <c r="BY19" s="52">
        <f t="shared" si="23"/>
        <v>0</v>
      </c>
      <c r="BZ19" s="34"/>
      <c r="CA19" s="51"/>
      <c r="CB19" s="51"/>
      <c r="CC19" s="34"/>
      <c r="CD19" s="34"/>
      <c r="CE19" s="52">
        <f t="shared" si="24"/>
        <v>0</v>
      </c>
      <c r="CF19" s="34"/>
      <c r="CG19" s="51"/>
      <c r="CH19" s="51"/>
      <c r="CI19" s="34"/>
      <c r="CJ19" s="34"/>
      <c r="CK19" s="52">
        <f t="shared" si="25"/>
        <v>0</v>
      </c>
      <c r="CL19" s="35">
        <f t="shared" si="9"/>
        <v>0</v>
      </c>
      <c r="CM19" s="35">
        <f t="shared" si="9"/>
        <v>0</v>
      </c>
      <c r="CN19" s="35">
        <f t="shared" si="9"/>
        <v>0</v>
      </c>
      <c r="CO19" s="35">
        <f t="shared" si="9"/>
        <v>0</v>
      </c>
      <c r="CP19" s="35">
        <f t="shared" si="9"/>
        <v>0</v>
      </c>
      <c r="CQ19" s="35">
        <f t="shared" si="9"/>
        <v>0</v>
      </c>
      <c r="CR19" s="37">
        <f t="shared" si="10"/>
        <v>0</v>
      </c>
      <c r="CS19" s="39">
        <f t="shared" si="26"/>
        <v>0</v>
      </c>
      <c r="CT19" s="53">
        <f t="shared" si="27"/>
        <v>0</v>
      </c>
      <c r="CU19" s="39">
        <f t="shared" si="28"/>
        <v>0</v>
      </c>
      <c r="CV19" s="39">
        <f t="shared" si="29"/>
        <v>0</v>
      </c>
      <c r="CW19" s="39">
        <f t="shared" si="30"/>
        <v>0</v>
      </c>
      <c r="CX19" s="39">
        <f t="shared" si="31"/>
        <v>0</v>
      </c>
      <c r="CY19" s="39">
        <f t="shared" si="32"/>
        <v>0</v>
      </c>
      <c r="CZ19" s="39">
        <f t="shared" si="33"/>
        <v>0</v>
      </c>
      <c r="DA19" s="39">
        <f t="shared" si="34"/>
        <v>0</v>
      </c>
      <c r="DB19" s="39">
        <f t="shared" si="35"/>
        <v>0</v>
      </c>
      <c r="DC19" s="39">
        <f t="shared" si="36"/>
        <v>0</v>
      </c>
      <c r="DD19" s="39">
        <f>+HLOOKUP('Reporte Evolución Mensual'!$F$2-2,$CR$2:$DC$251, Input!$DG19, FALSE)</f>
        <v>15436121.666666668</v>
      </c>
      <c r="DE19" s="39">
        <f>+HLOOKUP('Reporte Evolución Mensual'!$F$2-1,$CR$2:$DC$251, Input!$DG19, FALSE)</f>
        <v>17040832.651625</v>
      </c>
      <c r="DF19" s="39">
        <f>+HLOOKUP('Reporte Evolución Mensual'!$F$2,$CR$2:$DC$371, Input!$DG19, FALSE)</f>
        <v>22761577.926625002</v>
      </c>
      <c r="DG19" s="40">
        <f t="shared" si="37"/>
        <v>19</v>
      </c>
      <c r="DH19" s="39"/>
      <c r="DI19" s="37">
        <f t="shared" si="11"/>
        <v>0</v>
      </c>
      <c r="DJ19" s="37">
        <f t="shared" si="12"/>
        <v>0</v>
      </c>
      <c r="DK19" s="37">
        <f t="shared" si="12"/>
        <v>0</v>
      </c>
      <c r="DL19" s="37">
        <f t="shared" si="12"/>
        <v>0</v>
      </c>
      <c r="DM19" s="37">
        <f t="shared" si="12"/>
        <v>0</v>
      </c>
      <c r="DN19" s="37">
        <f t="shared" si="12"/>
        <v>0</v>
      </c>
      <c r="DO19" s="37">
        <f t="shared" si="12"/>
        <v>0</v>
      </c>
      <c r="DP19" s="37">
        <f t="shared" si="12"/>
        <v>0</v>
      </c>
      <c r="DQ19" s="37">
        <f t="shared" si="12"/>
        <v>0</v>
      </c>
      <c r="DR19" s="37">
        <f t="shared" si="12"/>
        <v>0</v>
      </c>
      <c r="DS19" s="37">
        <f t="shared" si="12"/>
        <v>0</v>
      </c>
      <c r="DT19" s="37">
        <f t="shared" si="12"/>
        <v>0</v>
      </c>
      <c r="DU19" s="16"/>
      <c r="DV19" s="345" t="s">
        <v>163</v>
      </c>
    </row>
    <row r="20" spans="1:126" ht="15" customHeight="1" x14ac:dyDescent="0.3">
      <c r="A20" s="1" t="str">
        <f t="shared" si="0"/>
        <v>ADIFSE</v>
      </c>
      <c r="B20" s="1" t="str">
        <f t="shared" si="1"/>
        <v>ADIFSE</v>
      </c>
      <c r="C20" s="1" t="str">
        <f t="shared" si="2"/>
        <v>MAY</v>
      </c>
      <c r="D20" s="41" t="s">
        <v>108</v>
      </c>
      <c r="E20" s="54" t="str">
        <f>CONCATENATE(G20," - ",I20)</f>
        <v>Ingresos - Total</v>
      </c>
      <c r="F20" s="43"/>
      <c r="G20" s="1" t="s">
        <v>162</v>
      </c>
      <c r="H20" s="32" t="s">
        <v>173</v>
      </c>
      <c r="I20" s="32" t="s">
        <v>173</v>
      </c>
      <c r="J20" s="32" t="s">
        <v>166</v>
      </c>
      <c r="K20" s="45">
        <f>SUM(K15:K19)</f>
        <v>40721168.439999998</v>
      </c>
      <c r="L20" s="55">
        <f t="shared" ref="L20:Q20" si="38">SUM(L15:L19)</f>
        <v>0</v>
      </c>
      <c r="M20" s="55">
        <f t="shared" si="38"/>
        <v>120000000</v>
      </c>
      <c r="N20" s="55">
        <f t="shared" si="38"/>
        <v>0</v>
      </c>
      <c r="O20" s="55">
        <f t="shared" si="38"/>
        <v>0</v>
      </c>
      <c r="P20" s="55">
        <f t="shared" si="38"/>
        <v>0</v>
      </c>
      <c r="Q20" s="55">
        <f t="shared" si="38"/>
        <v>120000000</v>
      </c>
      <c r="R20" s="55">
        <f t="shared" ref="R20:AW20" si="39">SUM(R15:R19)</f>
        <v>0</v>
      </c>
      <c r="S20" s="55">
        <f t="shared" si="39"/>
        <v>0</v>
      </c>
      <c r="T20" s="55">
        <f t="shared" si="39"/>
        <v>0</v>
      </c>
      <c r="U20" s="55">
        <f t="shared" si="39"/>
        <v>0</v>
      </c>
      <c r="V20" s="55">
        <f t="shared" si="39"/>
        <v>0</v>
      </c>
      <c r="W20" s="55">
        <f t="shared" si="39"/>
        <v>0</v>
      </c>
      <c r="X20" s="55">
        <f t="shared" si="39"/>
        <v>0</v>
      </c>
      <c r="Y20" s="55">
        <f t="shared" si="39"/>
        <v>12706121.666666666</v>
      </c>
      <c r="Z20" s="55">
        <f t="shared" si="39"/>
        <v>0</v>
      </c>
      <c r="AA20" s="55">
        <f t="shared" si="39"/>
        <v>0</v>
      </c>
      <c r="AB20" s="55">
        <f t="shared" si="39"/>
        <v>0</v>
      </c>
      <c r="AC20" s="55">
        <f t="shared" si="39"/>
        <v>12706121.666666666</v>
      </c>
      <c r="AD20" s="55">
        <f t="shared" si="39"/>
        <v>0</v>
      </c>
      <c r="AE20" s="55">
        <f t="shared" si="39"/>
        <v>15436121.666666668</v>
      </c>
      <c r="AF20" s="55">
        <f t="shared" si="39"/>
        <v>0</v>
      </c>
      <c r="AG20" s="55">
        <f t="shared" si="39"/>
        <v>0</v>
      </c>
      <c r="AH20" s="55">
        <f t="shared" si="39"/>
        <v>0</v>
      </c>
      <c r="AI20" s="55">
        <f t="shared" si="39"/>
        <v>15436121.666666668</v>
      </c>
      <c r="AJ20" s="55">
        <f t="shared" si="39"/>
        <v>0</v>
      </c>
      <c r="AK20" s="55">
        <f t="shared" si="39"/>
        <v>17040832.651625</v>
      </c>
      <c r="AL20" s="55">
        <f t="shared" si="39"/>
        <v>0</v>
      </c>
      <c r="AM20" s="55">
        <f t="shared" si="39"/>
        <v>0</v>
      </c>
      <c r="AN20" s="55">
        <f t="shared" si="39"/>
        <v>0</v>
      </c>
      <c r="AO20" s="55">
        <f t="shared" si="39"/>
        <v>17040832.651625</v>
      </c>
      <c r="AP20" s="55">
        <v>0</v>
      </c>
      <c r="AQ20" s="55">
        <v>22761577.926625002</v>
      </c>
      <c r="AR20" s="55">
        <f t="shared" si="39"/>
        <v>0</v>
      </c>
      <c r="AS20" s="55">
        <f t="shared" si="39"/>
        <v>0</v>
      </c>
      <c r="AT20" s="55">
        <f t="shared" si="39"/>
        <v>0</v>
      </c>
      <c r="AU20" s="55">
        <f t="shared" si="39"/>
        <v>22761577.926625002</v>
      </c>
      <c r="AV20" s="55">
        <f t="shared" si="39"/>
        <v>0</v>
      </c>
      <c r="AW20" s="55">
        <f t="shared" si="39"/>
        <v>7990453.4516249998</v>
      </c>
      <c r="AX20" s="55">
        <f t="shared" ref="AX20:BW20" si="40">SUM(AX15:AX19)</f>
        <v>0</v>
      </c>
      <c r="AY20" s="55">
        <f t="shared" si="40"/>
        <v>0</v>
      </c>
      <c r="AZ20" s="55">
        <f t="shared" si="40"/>
        <v>0</v>
      </c>
      <c r="BA20" s="55">
        <f t="shared" si="40"/>
        <v>7990453.4516249998</v>
      </c>
      <c r="BB20" s="55">
        <f t="shared" si="40"/>
        <v>0</v>
      </c>
      <c r="BC20" s="55">
        <f t="shared" si="40"/>
        <v>147936853.45162499</v>
      </c>
      <c r="BD20" s="55">
        <f t="shared" si="40"/>
        <v>0</v>
      </c>
      <c r="BE20" s="55">
        <f t="shared" si="40"/>
        <v>0</v>
      </c>
      <c r="BF20" s="55">
        <f t="shared" si="40"/>
        <v>0</v>
      </c>
      <c r="BG20" s="55">
        <f t="shared" si="40"/>
        <v>147936853.45162499</v>
      </c>
      <c r="BH20" s="55">
        <f t="shared" si="40"/>
        <v>0</v>
      </c>
      <c r="BI20" s="55">
        <f t="shared" si="40"/>
        <v>16884627.826625001</v>
      </c>
      <c r="BJ20" s="55">
        <f t="shared" si="40"/>
        <v>0</v>
      </c>
      <c r="BK20" s="55">
        <f t="shared" si="40"/>
        <v>0</v>
      </c>
      <c r="BL20" s="55">
        <f t="shared" si="40"/>
        <v>0</v>
      </c>
      <c r="BM20" s="55">
        <f t="shared" si="40"/>
        <v>16884627.826625001</v>
      </c>
      <c r="BN20" s="55">
        <f t="shared" si="40"/>
        <v>0</v>
      </c>
      <c r="BO20" s="55">
        <f t="shared" si="40"/>
        <v>14061072.959999999</v>
      </c>
      <c r="BP20" s="55">
        <f t="shared" si="40"/>
        <v>0</v>
      </c>
      <c r="BQ20" s="55">
        <f t="shared" si="40"/>
        <v>0</v>
      </c>
      <c r="BR20" s="55">
        <f t="shared" si="40"/>
        <v>0</v>
      </c>
      <c r="BS20" s="55">
        <f t="shared" si="40"/>
        <v>14061072.959999999</v>
      </c>
      <c r="BT20" s="55">
        <f t="shared" si="40"/>
        <v>0</v>
      </c>
      <c r="BU20" s="55">
        <f t="shared" si="40"/>
        <v>19166952.449999999</v>
      </c>
      <c r="BV20" s="55">
        <f t="shared" si="40"/>
        <v>0</v>
      </c>
      <c r="BW20" s="55">
        <f t="shared" si="40"/>
        <v>0</v>
      </c>
      <c r="BX20" s="55">
        <f t="shared" ref="BX20:CK20" si="41">SUM(BX15:BX19)</f>
        <v>0</v>
      </c>
      <c r="BY20" s="55">
        <f t="shared" si="41"/>
        <v>19166952.449999999</v>
      </c>
      <c r="BZ20" s="55">
        <f t="shared" si="41"/>
        <v>0</v>
      </c>
      <c r="CA20" s="55">
        <f t="shared" si="41"/>
        <v>4305900</v>
      </c>
      <c r="CB20" s="55">
        <f t="shared" si="41"/>
        <v>0</v>
      </c>
      <c r="CC20" s="55">
        <f t="shared" si="41"/>
        <v>0</v>
      </c>
      <c r="CD20" s="55">
        <f t="shared" si="41"/>
        <v>0</v>
      </c>
      <c r="CE20" s="55">
        <f t="shared" si="41"/>
        <v>4305900</v>
      </c>
      <c r="CF20" s="55">
        <f t="shared" si="41"/>
        <v>0</v>
      </c>
      <c r="CG20" s="55">
        <f t="shared" si="41"/>
        <v>4495150</v>
      </c>
      <c r="CH20" s="55">
        <f t="shared" si="41"/>
        <v>0</v>
      </c>
      <c r="CI20" s="55">
        <f t="shared" si="41"/>
        <v>0</v>
      </c>
      <c r="CJ20" s="55">
        <f t="shared" si="41"/>
        <v>0</v>
      </c>
      <c r="CK20" s="55">
        <f t="shared" si="41"/>
        <v>4495150</v>
      </c>
      <c r="CL20" s="55">
        <f t="shared" si="9"/>
        <v>0</v>
      </c>
      <c r="CM20" s="55">
        <f t="shared" si="9"/>
        <v>282785664.05145836</v>
      </c>
      <c r="CN20" s="55">
        <f t="shared" si="9"/>
        <v>0</v>
      </c>
      <c r="CO20" s="55">
        <f t="shared" si="9"/>
        <v>0</v>
      </c>
      <c r="CP20" s="55">
        <f t="shared" si="9"/>
        <v>0</v>
      </c>
      <c r="CQ20" s="55">
        <f t="shared" si="9"/>
        <v>282785664.05145836</v>
      </c>
      <c r="CR20" s="37">
        <f t="shared" si="10"/>
        <v>0</v>
      </c>
      <c r="CS20" s="39">
        <f t="shared" si="26"/>
        <v>12706121.666666666</v>
      </c>
      <c r="CT20" s="53">
        <f t="shared" si="27"/>
        <v>15436121.666666668</v>
      </c>
      <c r="CU20" s="39">
        <f t="shared" si="28"/>
        <v>17040832.651625</v>
      </c>
      <c r="CV20" s="39">
        <f t="shared" si="29"/>
        <v>22761577.926625002</v>
      </c>
      <c r="CW20" s="39">
        <f t="shared" si="30"/>
        <v>7990453.4516249998</v>
      </c>
      <c r="CX20" s="39">
        <f t="shared" si="31"/>
        <v>147936853.45162499</v>
      </c>
      <c r="CY20" s="39">
        <f t="shared" si="32"/>
        <v>16884627.826625001</v>
      </c>
      <c r="CZ20" s="39">
        <f t="shared" si="33"/>
        <v>14061072.959999999</v>
      </c>
      <c r="DA20" s="39">
        <f t="shared" si="34"/>
        <v>19166952.449999999</v>
      </c>
      <c r="DB20" s="39">
        <f t="shared" si="35"/>
        <v>4305900</v>
      </c>
      <c r="DC20" s="39">
        <f t="shared" si="36"/>
        <v>4495150</v>
      </c>
      <c r="DD20" s="39">
        <f>+HLOOKUP('Reporte Evolución Mensual'!$F$2-2,$CR$2:$DC$251, Input!$DG20, FALSE)</f>
        <v>0</v>
      </c>
      <c r="DE20" s="39">
        <f>+HLOOKUP('Reporte Evolución Mensual'!$F$2-1,$CR$2:$DC$251, Input!$DG20, FALSE)</f>
        <v>0</v>
      </c>
      <c r="DF20" s="39">
        <f>+HLOOKUP('Reporte Evolución Mensual'!$F$2,$CR$2:$DC$371, Input!$DG20, FALSE)</f>
        <v>0</v>
      </c>
      <c r="DG20" s="40">
        <f t="shared" si="37"/>
        <v>20</v>
      </c>
      <c r="DH20" s="39"/>
      <c r="DI20" s="37">
        <f t="shared" si="11"/>
        <v>0</v>
      </c>
      <c r="DJ20" s="37">
        <f t="shared" si="12"/>
        <v>12706121.666666666</v>
      </c>
      <c r="DK20" s="37">
        <f t="shared" si="12"/>
        <v>28142243.333333336</v>
      </c>
      <c r="DL20" s="37">
        <f t="shared" si="12"/>
        <v>45183075.984958336</v>
      </c>
      <c r="DM20" s="37">
        <f t="shared" si="12"/>
        <v>67944653.911583334</v>
      </c>
      <c r="DN20" s="37">
        <f t="shared" si="12"/>
        <v>75935107.363208339</v>
      </c>
      <c r="DO20" s="37">
        <f t="shared" si="12"/>
        <v>223871960.81483334</v>
      </c>
      <c r="DP20" s="37">
        <f t="shared" si="12"/>
        <v>240756588.64145833</v>
      </c>
      <c r="DQ20" s="37">
        <f t="shared" si="12"/>
        <v>254817661.60145834</v>
      </c>
      <c r="DR20" s="37">
        <f t="shared" si="12"/>
        <v>273984614.05145836</v>
      </c>
      <c r="DS20" s="37">
        <f t="shared" si="12"/>
        <v>278290514.05145836</v>
      </c>
      <c r="DT20" s="37">
        <f t="shared" si="12"/>
        <v>282785664.05145836</v>
      </c>
      <c r="DU20" s="16"/>
      <c r="DV20" s="345"/>
    </row>
    <row r="21" spans="1:126" ht="15" customHeight="1" x14ac:dyDescent="0.3">
      <c r="A21" s="1" t="str">
        <f t="shared" si="0"/>
        <v>ADIFSE</v>
      </c>
      <c r="B21" s="1" t="str">
        <f t="shared" si="1"/>
        <v>ADIFSE</v>
      </c>
      <c r="C21" s="1" t="str">
        <f t="shared" si="2"/>
        <v>MAY</v>
      </c>
      <c r="D21" s="41" t="s">
        <v>108</v>
      </c>
      <c r="E21" s="54" t="s">
        <v>333</v>
      </c>
      <c r="F21" s="43"/>
      <c r="G21" s="1"/>
      <c r="H21" s="32"/>
      <c r="I21" s="32"/>
      <c r="J21" s="32"/>
      <c r="K21" s="45"/>
      <c r="L21" s="55"/>
      <c r="M21" s="55"/>
      <c r="N21" s="55"/>
      <c r="O21" s="55"/>
      <c r="P21" s="55"/>
      <c r="Q21" s="56"/>
      <c r="R21" s="55"/>
      <c r="S21" s="55"/>
      <c r="T21" s="55"/>
      <c r="U21" s="55"/>
      <c r="V21" s="55"/>
      <c r="W21" s="57"/>
      <c r="X21" s="55"/>
      <c r="Y21" s="55"/>
      <c r="Z21" s="55"/>
      <c r="AA21" s="55"/>
      <c r="AB21" s="55"/>
      <c r="AC21" s="57"/>
      <c r="AD21" s="55"/>
      <c r="AE21" s="55"/>
      <c r="AF21" s="55"/>
      <c r="AG21" s="55"/>
      <c r="AH21" s="55"/>
      <c r="AI21" s="57"/>
      <c r="AJ21" s="55"/>
      <c r="AK21" s="55"/>
      <c r="AL21" s="55"/>
      <c r="AM21" s="55"/>
      <c r="AN21" s="55"/>
      <c r="AO21" s="57"/>
      <c r="AP21" s="55"/>
      <c r="AQ21" s="55"/>
      <c r="AR21" s="55"/>
      <c r="AS21" s="55"/>
      <c r="AT21" s="55"/>
      <c r="AU21" s="57"/>
      <c r="AV21" s="55"/>
      <c r="AW21" s="55"/>
      <c r="AX21" s="55"/>
      <c r="AY21" s="55"/>
      <c r="AZ21" s="55"/>
      <c r="BA21" s="57"/>
      <c r="BB21" s="55"/>
      <c r="BC21" s="55"/>
      <c r="BD21" s="55"/>
      <c r="BE21" s="55"/>
      <c r="BF21" s="55"/>
      <c r="BG21" s="57"/>
      <c r="BH21" s="55"/>
      <c r="BI21" s="55"/>
      <c r="BJ21" s="55"/>
      <c r="BK21" s="55"/>
      <c r="BL21" s="55"/>
      <c r="BM21" s="57"/>
      <c r="BN21" s="55"/>
      <c r="BO21" s="55"/>
      <c r="BP21" s="55"/>
      <c r="BQ21" s="55"/>
      <c r="BR21" s="55"/>
      <c r="BS21" s="57"/>
      <c r="BT21" s="55"/>
      <c r="BU21" s="55"/>
      <c r="BV21" s="55"/>
      <c r="BW21" s="55"/>
      <c r="BX21" s="55"/>
      <c r="BY21" s="57"/>
      <c r="BZ21" s="55"/>
      <c r="CA21" s="55"/>
      <c r="CB21" s="55"/>
      <c r="CC21" s="55"/>
      <c r="CD21" s="55"/>
      <c r="CE21" s="57"/>
      <c r="CF21" s="55"/>
      <c r="CG21" s="55"/>
      <c r="CH21" s="55"/>
      <c r="CI21" s="55"/>
      <c r="CJ21" s="55"/>
      <c r="CK21" s="57"/>
      <c r="CL21" s="56"/>
      <c r="CM21" s="56"/>
      <c r="CN21" s="56"/>
      <c r="CO21" s="56"/>
      <c r="CP21" s="56"/>
      <c r="CQ21" s="5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8"/>
      <c r="DD21" s="39">
        <f>+HLOOKUP('Reporte Evolución Mensual'!$F$2-2,$CR$2:$DC$251, Input!$DG21, FALSE)</f>
        <v>0</v>
      </c>
      <c r="DE21" s="39">
        <f>+HLOOKUP('Reporte Evolución Mensual'!$F$2-1,$CR$2:$DC$251, Input!$DG21, FALSE)</f>
        <v>0</v>
      </c>
      <c r="DF21" s="39">
        <f>+HLOOKUP('Reporte Evolución Mensual'!$F$2,$CR$2:$DC$371, Input!$DG21, FALSE)</f>
        <v>0</v>
      </c>
      <c r="DG21" s="40">
        <f t="shared" si="37"/>
        <v>21</v>
      </c>
      <c r="DH21" s="39"/>
      <c r="DI21" s="39"/>
      <c r="DJ21" s="39"/>
      <c r="DK21" s="39"/>
      <c r="DL21" s="39"/>
      <c r="DM21" s="39"/>
      <c r="DN21" s="39"/>
      <c r="DO21" s="58"/>
      <c r="DP21" s="58"/>
      <c r="DQ21" s="58"/>
      <c r="DR21" s="58"/>
      <c r="DS21" s="41"/>
      <c r="DT21" s="41"/>
      <c r="DU21" s="16"/>
      <c r="DV21" s="345"/>
    </row>
    <row r="22" spans="1:126" ht="15" customHeight="1" x14ac:dyDescent="0.3">
      <c r="A22" s="1" t="str">
        <f t="shared" si="0"/>
        <v>ADIFSE</v>
      </c>
      <c r="B22" s="1" t="str">
        <f t="shared" si="1"/>
        <v>ADIFSE</v>
      </c>
      <c r="C22" s="1" t="str">
        <f t="shared" si="2"/>
        <v>MAY</v>
      </c>
      <c r="D22" s="41" t="s">
        <v>108</v>
      </c>
      <c r="E22" s="42" t="s">
        <v>174</v>
      </c>
      <c r="F22" s="43"/>
      <c r="G22" s="1"/>
      <c r="H22" s="32"/>
      <c r="I22" s="32"/>
      <c r="J22" s="32"/>
      <c r="K22" s="45"/>
      <c r="L22" s="55"/>
      <c r="M22" s="55"/>
      <c r="N22" s="55"/>
      <c r="O22" s="55"/>
      <c r="P22" s="55"/>
      <c r="Q22" s="56"/>
      <c r="R22" s="55"/>
      <c r="S22" s="55"/>
      <c r="T22" s="55"/>
      <c r="U22" s="55"/>
      <c r="V22" s="55"/>
      <c r="W22" s="57"/>
      <c r="X22" s="55"/>
      <c r="Y22" s="55"/>
      <c r="Z22" s="55"/>
      <c r="AA22" s="55"/>
      <c r="AB22" s="55"/>
      <c r="AC22" s="57"/>
      <c r="AD22" s="55"/>
      <c r="AE22" s="55"/>
      <c r="AF22" s="55"/>
      <c r="AG22" s="55"/>
      <c r="AH22" s="55"/>
      <c r="AI22" s="57"/>
      <c r="AJ22" s="55"/>
      <c r="AK22" s="55"/>
      <c r="AL22" s="55"/>
      <c r="AM22" s="55"/>
      <c r="AN22" s="55"/>
      <c r="AO22" s="57"/>
      <c r="AP22" s="55"/>
      <c r="AQ22" s="55"/>
      <c r="AR22" s="55"/>
      <c r="AS22" s="55"/>
      <c r="AT22" s="55"/>
      <c r="AU22" s="57"/>
      <c r="AV22" s="55"/>
      <c r="AW22" s="55"/>
      <c r="AX22" s="55"/>
      <c r="AY22" s="55"/>
      <c r="AZ22" s="55"/>
      <c r="BA22" s="57"/>
      <c r="BB22" s="55"/>
      <c r="BC22" s="55"/>
      <c r="BD22" s="55"/>
      <c r="BE22" s="55"/>
      <c r="BF22" s="55"/>
      <c r="BG22" s="57"/>
      <c r="BH22" s="55"/>
      <c r="BI22" s="55"/>
      <c r="BJ22" s="55"/>
      <c r="BK22" s="55"/>
      <c r="BL22" s="55"/>
      <c r="BM22" s="57"/>
      <c r="BN22" s="55"/>
      <c r="BO22" s="55"/>
      <c r="BP22" s="55"/>
      <c r="BQ22" s="55"/>
      <c r="BR22" s="55"/>
      <c r="BS22" s="57"/>
      <c r="BT22" s="55"/>
      <c r="BU22" s="55"/>
      <c r="BV22" s="55"/>
      <c r="BW22" s="55"/>
      <c r="BX22" s="55"/>
      <c r="BY22" s="57"/>
      <c r="BZ22" s="55"/>
      <c r="CA22" s="55"/>
      <c r="CB22" s="55"/>
      <c r="CC22" s="55"/>
      <c r="CD22" s="55"/>
      <c r="CE22" s="57"/>
      <c r="CF22" s="55"/>
      <c r="CG22" s="55"/>
      <c r="CH22" s="55"/>
      <c r="CI22" s="55"/>
      <c r="CJ22" s="55"/>
      <c r="CK22" s="57"/>
      <c r="CL22" s="56"/>
      <c r="CM22" s="56"/>
      <c r="CN22" s="56"/>
      <c r="CO22" s="56"/>
      <c r="CP22" s="56"/>
      <c r="CQ22" s="5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8"/>
      <c r="DD22" s="39">
        <f>+HLOOKUP('Reporte Evolución Mensual'!$F$2-2,$CR$2:$DC$251, Input!$DG22, FALSE)</f>
        <v>31000000</v>
      </c>
      <c r="DE22" s="39">
        <f>+HLOOKUP('Reporte Evolución Mensual'!$F$2-1,$CR$2:$DC$251, Input!$DG22, FALSE)</f>
        <v>45380000</v>
      </c>
      <c r="DF22" s="39">
        <f>+HLOOKUP('Reporte Evolución Mensual'!$F$2,$CR$2:$DC$371, Input!$DG22, FALSE)</f>
        <v>62075647.650901705</v>
      </c>
      <c r="DG22" s="40">
        <f t="shared" si="37"/>
        <v>22</v>
      </c>
      <c r="DH22" s="39"/>
      <c r="DI22" s="39"/>
      <c r="DJ22" s="39"/>
      <c r="DK22" s="39"/>
      <c r="DL22" s="39"/>
      <c r="DM22" s="39"/>
      <c r="DN22" s="39"/>
      <c r="DO22" s="58"/>
      <c r="DP22" s="58"/>
      <c r="DQ22" s="58"/>
      <c r="DR22" s="58"/>
      <c r="DS22" s="41"/>
      <c r="DT22" s="41"/>
      <c r="DU22" s="16"/>
      <c r="DV22" s="345"/>
    </row>
    <row r="23" spans="1:126" ht="15" customHeight="1" x14ac:dyDescent="0.3">
      <c r="A23" s="1" t="str">
        <f t="shared" si="0"/>
        <v>ADIFSE</v>
      </c>
      <c r="B23" s="1" t="str">
        <f t="shared" si="1"/>
        <v>ADIFSE</v>
      </c>
      <c r="C23" s="1" t="str">
        <f t="shared" si="2"/>
        <v>MAY</v>
      </c>
      <c r="D23" s="41" t="s">
        <v>163</v>
      </c>
      <c r="E23" s="30" t="str">
        <f t="shared" ref="E23:E29" si="42">H23</f>
        <v>Transf. del la Adm. Nac. p/Gastos Corrientes</v>
      </c>
      <c r="F23" s="31" t="s">
        <v>175</v>
      </c>
      <c r="G23" s="1" t="s">
        <v>174</v>
      </c>
      <c r="H23" s="32" t="s">
        <v>176</v>
      </c>
      <c r="I23" s="32" t="s">
        <v>176</v>
      </c>
      <c r="J23" s="32" t="s">
        <v>166</v>
      </c>
      <c r="K23" s="51">
        <v>431131640</v>
      </c>
      <c r="L23" s="38">
        <v>590000000</v>
      </c>
      <c r="M23" s="51"/>
      <c r="N23" s="51"/>
      <c r="O23" s="51"/>
      <c r="P23" s="51"/>
      <c r="Q23" s="56">
        <f t="shared" si="13"/>
        <v>590000000</v>
      </c>
      <c r="R23" s="427">
        <v>45380000</v>
      </c>
      <c r="S23" s="51"/>
      <c r="T23" s="51"/>
      <c r="U23" s="51"/>
      <c r="V23" s="51"/>
      <c r="W23" s="56">
        <f t="shared" si="14"/>
        <v>45380000</v>
      </c>
      <c r="X23" s="38">
        <f>+'Proyeccion Transferencias'!L6</f>
        <v>45380000</v>
      </c>
      <c r="Y23" s="51"/>
      <c r="Z23" s="51"/>
      <c r="AA23" s="51"/>
      <c r="AB23" s="51"/>
      <c r="AC23" s="56">
        <f t="shared" si="15"/>
        <v>45380000</v>
      </c>
      <c r="AD23" s="38">
        <v>31000000</v>
      </c>
      <c r="AE23" s="51"/>
      <c r="AF23" s="51"/>
      <c r="AG23" s="51"/>
      <c r="AH23" s="51"/>
      <c r="AI23" s="56">
        <f t="shared" si="16"/>
        <v>31000000</v>
      </c>
      <c r="AJ23" s="38">
        <f>+'Proyeccion Transferencias'!N6</f>
        <v>45380000</v>
      </c>
      <c r="AK23" s="51"/>
      <c r="AL23" s="51"/>
      <c r="AM23" s="51"/>
      <c r="AN23" s="51"/>
      <c r="AO23" s="56">
        <f t="shared" si="17"/>
        <v>45380000</v>
      </c>
      <c r="AP23" s="38">
        <v>62075647.650901705</v>
      </c>
      <c r="AQ23" s="51"/>
      <c r="AR23" s="51"/>
      <c r="AS23" s="51"/>
      <c r="AT23" s="51"/>
      <c r="AU23" s="56">
        <f t="shared" si="18"/>
        <v>62075647.650901705</v>
      </c>
      <c r="AV23" s="38">
        <f>+SUM(AV33:AV45)</f>
        <v>47642159.007278219</v>
      </c>
      <c r="AW23" s="51"/>
      <c r="AX23" s="51"/>
      <c r="AY23" s="51"/>
      <c r="AZ23" s="51"/>
      <c r="BA23" s="56">
        <f t="shared" si="19"/>
        <v>47642159.007278219</v>
      </c>
      <c r="BB23" s="38">
        <f>+SUM(BB33:BB45)</f>
        <v>46046583.890196651</v>
      </c>
      <c r="BC23" s="51"/>
      <c r="BD23" s="51"/>
      <c r="BE23" s="51"/>
      <c r="BF23" s="51"/>
      <c r="BG23" s="56">
        <f t="shared" si="20"/>
        <v>46046583.890196651</v>
      </c>
      <c r="BH23" s="38">
        <f>+SUM(BH33:BH45)</f>
        <v>42962454.819217548</v>
      </c>
      <c r="BI23" s="51"/>
      <c r="BJ23" s="51"/>
      <c r="BK23" s="51"/>
      <c r="BL23" s="51"/>
      <c r="BM23" s="56">
        <f t="shared" si="21"/>
        <v>42962454.819217548</v>
      </c>
      <c r="BN23" s="38">
        <f>+SUM(BN33:BN45)</f>
        <v>32849368.522012874</v>
      </c>
      <c r="BO23" s="51"/>
      <c r="BP23" s="51"/>
      <c r="BQ23" s="51"/>
      <c r="BR23" s="51"/>
      <c r="BS23" s="56">
        <f t="shared" si="22"/>
        <v>32849368.522012874</v>
      </c>
      <c r="BT23" s="38">
        <f>+SUM(BT33:BT45)</f>
        <v>33258892.73210647</v>
      </c>
      <c r="BU23" s="51"/>
      <c r="BV23" s="51"/>
      <c r="BW23" s="51"/>
      <c r="BX23" s="51"/>
      <c r="BY23" s="56">
        <f t="shared" si="23"/>
        <v>33258892.73210647</v>
      </c>
      <c r="BZ23" s="38">
        <f>+SUM(BZ33:BZ45)</f>
        <v>33294431.73210647</v>
      </c>
      <c r="CA23" s="51"/>
      <c r="CB23" s="51"/>
      <c r="CC23" s="51"/>
      <c r="CD23" s="51"/>
      <c r="CE23" s="56">
        <f t="shared" si="24"/>
        <v>33294431.73210647</v>
      </c>
      <c r="CF23" s="38">
        <f>+SUM(CF33:CF45)</f>
        <v>37889484.615519077</v>
      </c>
      <c r="CG23" s="51"/>
      <c r="CH23" s="51"/>
      <c r="CI23" s="51"/>
      <c r="CJ23" s="51"/>
      <c r="CK23" s="56">
        <f t="shared" si="25"/>
        <v>37889484.615519077</v>
      </c>
      <c r="CL23" s="56">
        <f t="shared" si="9"/>
        <v>503159022.96933901</v>
      </c>
      <c r="CM23" s="56">
        <f t="shared" si="9"/>
        <v>0</v>
      </c>
      <c r="CN23" s="56">
        <f t="shared" si="9"/>
        <v>0</v>
      </c>
      <c r="CO23" s="56">
        <f t="shared" si="9"/>
        <v>0</v>
      </c>
      <c r="CP23" s="56">
        <f t="shared" si="9"/>
        <v>0</v>
      </c>
      <c r="CQ23" s="56">
        <f t="shared" si="9"/>
        <v>503159022.96933901</v>
      </c>
      <c r="CR23" s="37">
        <f t="shared" ref="CR23:CR30" si="43">+W23</f>
        <v>45380000</v>
      </c>
      <c r="CS23" s="39">
        <f t="shared" ref="CS23:CS30" si="44">+AC23</f>
        <v>45380000</v>
      </c>
      <c r="CT23" s="53">
        <f t="shared" ref="CT23:CT30" si="45">+AI23</f>
        <v>31000000</v>
      </c>
      <c r="CU23" s="39">
        <f t="shared" ref="CU23:CU30" si="46">+AO23</f>
        <v>45380000</v>
      </c>
      <c r="CV23" s="39">
        <f t="shared" ref="CV23:CV30" si="47">+AU23</f>
        <v>62075647.650901705</v>
      </c>
      <c r="CW23" s="39">
        <f t="shared" ref="CW23:CW30" si="48">+BA23</f>
        <v>47642159.007278219</v>
      </c>
      <c r="CX23" s="39">
        <f t="shared" ref="CX23:CX30" si="49">+BG23</f>
        <v>46046583.890196651</v>
      </c>
      <c r="CY23" s="39">
        <f t="shared" ref="CY23:CY30" si="50">+BM23</f>
        <v>42962454.819217548</v>
      </c>
      <c r="CZ23" s="39">
        <f t="shared" ref="CZ23:CZ30" si="51">+BS23</f>
        <v>32849368.522012874</v>
      </c>
      <c r="DA23" s="39">
        <f t="shared" ref="DA23:DA30" si="52">+BY23</f>
        <v>33258892.73210647</v>
      </c>
      <c r="DB23" s="39">
        <f t="shared" ref="DB23:DB30" si="53">+CE23</f>
        <v>33294431.73210647</v>
      </c>
      <c r="DC23" s="39">
        <f t="shared" ref="DC23:DC30" si="54">+CK23</f>
        <v>37889484.615519077</v>
      </c>
      <c r="DD23" s="39">
        <f>+HLOOKUP('Reporte Evolución Mensual'!$F$2-2,$CR$2:$DC$251, Input!$DG23, FALSE)</f>
        <v>438225000</v>
      </c>
      <c r="DE23" s="39">
        <f>+HLOOKUP('Reporte Evolución Mensual'!$F$2-1,$CR$2:$DC$251, Input!$DG23, FALSE)</f>
        <v>438225000</v>
      </c>
      <c r="DF23" s="39">
        <f>+HLOOKUP('Reporte Evolución Mensual'!$F$2,$CR$2:$DC$371, Input!$DG23, FALSE)</f>
        <v>289648363.19143629</v>
      </c>
      <c r="DG23" s="40">
        <f t="shared" si="37"/>
        <v>23</v>
      </c>
      <c r="DH23" s="39"/>
      <c r="DI23" s="37">
        <f t="shared" ref="DI23:DI30" si="55">+CR23</f>
        <v>45380000</v>
      </c>
      <c r="DJ23" s="37">
        <f t="shared" ref="DJ23:DT30" si="56">+DI23+CS23</f>
        <v>90760000</v>
      </c>
      <c r="DK23" s="37">
        <f t="shared" si="56"/>
        <v>121760000</v>
      </c>
      <c r="DL23" s="37">
        <f t="shared" si="56"/>
        <v>167140000</v>
      </c>
      <c r="DM23" s="37">
        <f t="shared" si="56"/>
        <v>229215647.65090171</v>
      </c>
      <c r="DN23" s="37">
        <f t="shared" si="56"/>
        <v>276857806.65817994</v>
      </c>
      <c r="DO23" s="37">
        <f t="shared" si="56"/>
        <v>322904390.54837656</v>
      </c>
      <c r="DP23" s="37">
        <f t="shared" si="56"/>
        <v>365866845.36759412</v>
      </c>
      <c r="DQ23" s="37">
        <f t="shared" si="56"/>
        <v>398716213.88960701</v>
      </c>
      <c r="DR23" s="37">
        <f t="shared" si="56"/>
        <v>431975106.62171346</v>
      </c>
      <c r="DS23" s="37">
        <f t="shared" si="56"/>
        <v>465269538.35381991</v>
      </c>
      <c r="DT23" s="37">
        <f t="shared" si="56"/>
        <v>503159022.96933901</v>
      </c>
      <c r="DU23" s="16"/>
      <c r="DV23" s="345" t="s">
        <v>163</v>
      </c>
    </row>
    <row r="24" spans="1:126" ht="15" customHeight="1" x14ac:dyDescent="0.3">
      <c r="A24" s="1" t="str">
        <f t="shared" si="0"/>
        <v>ADIFSE</v>
      </c>
      <c r="B24" s="1" t="str">
        <f t="shared" si="1"/>
        <v>ADIFSE</v>
      </c>
      <c r="C24" s="1" t="str">
        <f t="shared" si="2"/>
        <v>MAY</v>
      </c>
      <c r="D24" s="41" t="s">
        <v>163</v>
      </c>
      <c r="E24" s="30" t="str">
        <f t="shared" si="42"/>
        <v>Transf. del la Adm. Nac. p/Gastos de Capital</v>
      </c>
      <c r="F24" s="31" t="s">
        <v>177</v>
      </c>
      <c r="G24" s="1" t="s">
        <v>174</v>
      </c>
      <c r="H24" s="32" t="s">
        <v>178</v>
      </c>
      <c r="I24" s="32" t="s">
        <v>178</v>
      </c>
      <c r="J24" s="32" t="s">
        <v>166</v>
      </c>
      <c r="K24" s="51">
        <v>4604103578</v>
      </c>
      <c r="L24" s="38">
        <v>3505800000</v>
      </c>
      <c r="M24" s="51"/>
      <c r="N24" s="51"/>
      <c r="O24" s="51"/>
      <c r="P24" s="51">
        <v>234014767</v>
      </c>
      <c r="Q24" s="56">
        <f t="shared" si="13"/>
        <v>3739814767</v>
      </c>
      <c r="R24" s="38">
        <v>0</v>
      </c>
      <c r="S24" s="51"/>
      <c r="T24" s="51"/>
      <c r="U24" s="51"/>
      <c r="V24" s="51"/>
      <c r="W24" s="56">
        <f t="shared" si="14"/>
        <v>0</v>
      </c>
      <c r="X24" s="38">
        <f>+'Proyeccion Transferencias'!L7</f>
        <v>438225000</v>
      </c>
      <c r="Y24" s="51"/>
      <c r="Z24" s="51"/>
      <c r="AA24" s="51"/>
      <c r="AB24" s="51">
        <v>0</v>
      </c>
      <c r="AC24" s="56">
        <f t="shared" si="15"/>
        <v>438225000</v>
      </c>
      <c r="AD24" s="38">
        <f>+'Proyeccion Transferencias'!M7</f>
        <v>438225000</v>
      </c>
      <c r="AE24" s="51"/>
      <c r="AF24" s="51"/>
      <c r="AG24" s="51"/>
      <c r="AH24" s="51">
        <v>0</v>
      </c>
      <c r="AI24" s="56">
        <f t="shared" si="16"/>
        <v>438225000</v>
      </c>
      <c r="AJ24" s="38">
        <f>+'Proyeccion Transferencias'!N7</f>
        <v>438225000</v>
      </c>
      <c r="AK24" s="51"/>
      <c r="AL24" s="51"/>
      <c r="AM24" s="51"/>
      <c r="AN24" s="51">
        <v>0</v>
      </c>
      <c r="AO24" s="56">
        <f t="shared" si="17"/>
        <v>438225000</v>
      </c>
      <c r="AP24" s="38">
        <v>289648363.19143629</v>
      </c>
      <c r="AQ24" s="51"/>
      <c r="AR24" s="51"/>
      <c r="AS24" s="51"/>
      <c r="AT24" s="51"/>
      <c r="AU24" s="56">
        <f>SUM(AP24:AT24)</f>
        <v>289648363.19143629</v>
      </c>
      <c r="AV24" s="38">
        <f>+AV67</f>
        <v>485501141.61841416</v>
      </c>
      <c r="AW24" s="51"/>
      <c r="AX24" s="51"/>
      <c r="AY24" s="51"/>
      <c r="AZ24" s="51">
        <v>0</v>
      </c>
      <c r="BA24" s="56">
        <f t="shared" si="19"/>
        <v>485501141.61841416</v>
      </c>
      <c r="BB24" s="38">
        <f>+BB67</f>
        <v>652004049.14677906</v>
      </c>
      <c r="BC24" s="51"/>
      <c r="BD24" s="51"/>
      <c r="BE24" s="51"/>
      <c r="BF24" s="51"/>
      <c r="BG24" s="56">
        <f t="shared" si="20"/>
        <v>652004049.14677906</v>
      </c>
      <c r="BH24" s="38">
        <f>+BH67</f>
        <v>483685274.81260371</v>
      </c>
      <c r="BI24" s="51"/>
      <c r="BJ24" s="51"/>
      <c r="BK24" s="51"/>
      <c r="BL24" s="51"/>
      <c r="BM24" s="56">
        <f t="shared" si="21"/>
        <v>483685274.81260371</v>
      </c>
      <c r="BN24" s="38">
        <f>+BN67</f>
        <v>430030259.96091521</v>
      </c>
      <c r="BO24" s="51"/>
      <c r="BP24" s="51"/>
      <c r="BQ24" s="51"/>
      <c r="BR24" s="51"/>
      <c r="BS24" s="56">
        <f t="shared" si="22"/>
        <v>430030259.96091521</v>
      </c>
      <c r="BT24" s="38">
        <f>+BT67</f>
        <v>613303691.14505875</v>
      </c>
      <c r="BU24" s="51"/>
      <c r="BV24" s="51"/>
      <c r="BW24" s="51"/>
      <c r="BX24" s="51">
        <v>0</v>
      </c>
      <c r="BY24" s="56">
        <f t="shared" si="23"/>
        <v>613303691.14505875</v>
      </c>
      <c r="BZ24" s="38">
        <f>+BZ67</f>
        <v>293872654.51091683</v>
      </c>
      <c r="CA24" s="51"/>
      <c r="CB24" s="51"/>
      <c r="CC24" s="51"/>
      <c r="CD24" s="51">
        <v>0</v>
      </c>
      <c r="CE24" s="56">
        <f t="shared" si="24"/>
        <v>293872654.51091683</v>
      </c>
      <c r="CF24" s="38">
        <f>+CF67</f>
        <v>553532463.42286646</v>
      </c>
      <c r="CG24" s="51"/>
      <c r="CH24" s="51"/>
      <c r="CI24" s="51"/>
      <c r="CJ24" s="448">
        <v>0</v>
      </c>
      <c r="CK24" s="56">
        <f t="shared" si="25"/>
        <v>553532463.42286646</v>
      </c>
      <c r="CL24" s="56">
        <f>+R24+X24+AD24+AJ24+AP24+AV24+BB24+BH24+BN24+BT24+BZ24+CF24</f>
        <v>5116252897.8089914</v>
      </c>
      <c r="CM24" s="56">
        <f>+S24+Y24+AE24+AK24+AQ24+AW24+BC24+BI24+BO24+BU24+CA24+CG24</f>
        <v>0</v>
      </c>
      <c r="CN24" s="56">
        <f t="shared" si="9"/>
        <v>0</v>
      </c>
      <c r="CO24" s="56">
        <f t="shared" si="9"/>
        <v>0</v>
      </c>
      <c r="CP24" s="56">
        <f t="shared" si="9"/>
        <v>0</v>
      </c>
      <c r="CQ24" s="56">
        <f t="shared" si="9"/>
        <v>5116252897.8089914</v>
      </c>
      <c r="CR24" s="37">
        <f t="shared" si="43"/>
        <v>0</v>
      </c>
      <c r="CS24" s="39">
        <f t="shared" si="44"/>
        <v>438225000</v>
      </c>
      <c r="CT24" s="53">
        <f t="shared" si="45"/>
        <v>438225000</v>
      </c>
      <c r="CU24" s="39">
        <f t="shared" si="46"/>
        <v>438225000</v>
      </c>
      <c r="CV24" s="39">
        <f t="shared" si="47"/>
        <v>289648363.19143629</v>
      </c>
      <c r="CW24" s="39">
        <f t="shared" si="48"/>
        <v>485501141.61841416</v>
      </c>
      <c r="CX24" s="39">
        <f t="shared" si="49"/>
        <v>652004049.14677906</v>
      </c>
      <c r="CY24" s="39">
        <f t="shared" si="50"/>
        <v>483685274.81260371</v>
      </c>
      <c r="CZ24" s="39">
        <f t="shared" si="51"/>
        <v>430030259.96091521</v>
      </c>
      <c r="DA24" s="39">
        <f t="shared" si="52"/>
        <v>613303691.14505875</v>
      </c>
      <c r="DB24" s="39">
        <f t="shared" si="53"/>
        <v>293872654.51091683</v>
      </c>
      <c r="DC24" s="39">
        <f t="shared" si="54"/>
        <v>553532463.42286646</v>
      </c>
      <c r="DD24" s="39">
        <f>+HLOOKUP('Reporte Evolución Mensual'!$F$2-2,$CR$2:$DC$251, Input!$DG24, FALSE)</f>
        <v>15000000</v>
      </c>
      <c r="DE24" s="39">
        <f>+HLOOKUP('Reporte Evolución Mensual'!$F$2-1,$CR$2:$DC$251, Input!$DG24, FALSE)</f>
        <v>0</v>
      </c>
      <c r="DF24" s="39">
        <f>+HLOOKUP('Reporte Evolución Mensual'!$F$2,$CR$2:$DC$371, Input!$DG24, FALSE)</f>
        <v>0</v>
      </c>
      <c r="DG24" s="40">
        <f t="shared" si="37"/>
        <v>24</v>
      </c>
      <c r="DH24" s="39"/>
      <c r="DI24" s="37">
        <f t="shared" si="55"/>
        <v>0</v>
      </c>
      <c r="DJ24" s="37">
        <f t="shared" si="56"/>
        <v>438225000</v>
      </c>
      <c r="DK24" s="37">
        <f t="shared" si="56"/>
        <v>876450000</v>
      </c>
      <c r="DL24" s="37">
        <f t="shared" si="56"/>
        <v>1314675000</v>
      </c>
      <c r="DM24" s="37">
        <f t="shared" si="56"/>
        <v>1604323363.1914363</v>
      </c>
      <c r="DN24" s="37">
        <f t="shared" si="56"/>
        <v>2089824504.8098505</v>
      </c>
      <c r="DO24" s="37">
        <f t="shared" si="56"/>
        <v>2741828553.9566298</v>
      </c>
      <c r="DP24" s="37">
        <f t="shared" si="56"/>
        <v>3225513828.7692337</v>
      </c>
      <c r="DQ24" s="37">
        <f t="shared" si="56"/>
        <v>3655544088.7301488</v>
      </c>
      <c r="DR24" s="37">
        <f t="shared" si="56"/>
        <v>4268847779.8752074</v>
      </c>
      <c r="DS24" s="37">
        <f t="shared" si="56"/>
        <v>4562720434.3861246</v>
      </c>
      <c r="DT24" s="37">
        <f t="shared" si="56"/>
        <v>5116252897.8089914</v>
      </c>
      <c r="DU24" s="16"/>
      <c r="DV24" s="345" t="s">
        <v>163</v>
      </c>
    </row>
    <row r="25" spans="1:126" ht="15" customHeight="1" x14ac:dyDescent="0.3">
      <c r="A25" s="1" t="str">
        <f t="shared" si="0"/>
        <v>ADIFSE</v>
      </c>
      <c r="B25" s="1" t="str">
        <f t="shared" si="1"/>
        <v>ADIFSE</v>
      </c>
      <c r="C25" s="1" t="str">
        <f t="shared" si="2"/>
        <v>MAY</v>
      </c>
      <c r="D25" s="41" t="s">
        <v>163</v>
      </c>
      <c r="E25" s="30" t="str">
        <f t="shared" si="42"/>
        <v>Otras Transf. del Est. Nac. p/ Gastos Corrientes</v>
      </c>
      <c r="F25" s="31" t="s">
        <v>179</v>
      </c>
      <c r="G25" s="1" t="s">
        <v>174</v>
      </c>
      <c r="H25" s="32" t="s">
        <v>180</v>
      </c>
      <c r="I25" s="32" t="s">
        <v>180</v>
      </c>
      <c r="J25" s="32" t="s">
        <v>166</v>
      </c>
      <c r="K25" s="51"/>
      <c r="L25" s="51"/>
      <c r="M25" s="51"/>
      <c r="N25" s="51"/>
      <c r="O25" s="51">
        <v>200000000</v>
      </c>
      <c r="P25" s="51"/>
      <c r="Q25" s="56">
        <f t="shared" si="13"/>
        <v>200000000</v>
      </c>
      <c r="R25" s="51"/>
      <c r="S25" s="51"/>
      <c r="T25" s="51"/>
      <c r="U25" s="51"/>
      <c r="V25" s="51"/>
      <c r="W25" s="56">
        <f t="shared" si="14"/>
        <v>0</v>
      </c>
      <c r="X25" s="51"/>
      <c r="Y25" s="51"/>
      <c r="Z25" s="51"/>
      <c r="AA25" s="51">
        <f>+'Proyeccion Transferencias'!L9</f>
        <v>15000000</v>
      </c>
      <c r="AB25" s="51"/>
      <c r="AC25" s="56">
        <f t="shared" si="15"/>
        <v>15000000</v>
      </c>
      <c r="AD25" s="51"/>
      <c r="AE25" s="51"/>
      <c r="AF25" s="51"/>
      <c r="AG25" s="51">
        <f>+'Proyeccion Transferencias'!M9</f>
        <v>15000000</v>
      </c>
      <c r="AH25" s="51"/>
      <c r="AI25" s="56">
        <f t="shared" si="16"/>
        <v>15000000</v>
      </c>
      <c r="AJ25" s="51"/>
      <c r="AK25" s="51"/>
      <c r="AL25" s="51"/>
      <c r="AM25" s="51"/>
      <c r="AN25" s="51"/>
      <c r="AO25" s="56">
        <f t="shared" si="17"/>
        <v>0</v>
      </c>
      <c r="AP25" s="51"/>
      <c r="AQ25" s="51"/>
      <c r="AR25" s="51"/>
      <c r="AS25" s="51"/>
      <c r="AT25" s="51"/>
      <c r="AU25" s="56">
        <f t="shared" si="18"/>
        <v>0</v>
      </c>
      <c r="AV25" s="51"/>
      <c r="AW25" s="51"/>
      <c r="AX25" s="51"/>
      <c r="AY25" s="51">
        <v>15000000</v>
      </c>
      <c r="AZ25" s="51"/>
      <c r="BA25" s="56">
        <f t="shared" si="19"/>
        <v>15000000</v>
      </c>
      <c r="BB25" s="51"/>
      <c r="BC25" s="51"/>
      <c r="BD25" s="51"/>
      <c r="BE25" s="51">
        <v>15000000</v>
      </c>
      <c r="BF25" s="51"/>
      <c r="BG25" s="56">
        <f t="shared" si="20"/>
        <v>15000000</v>
      </c>
      <c r="BH25" s="51"/>
      <c r="BI25" s="51"/>
      <c r="BJ25" s="51"/>
      <c r="BK25" s="51">
        <v>20000000</v>
      </c>
      <c r="BL25" s="51"/>
      <c r="BM25" s="56">
        <f t="shared" si="21"/>
        <v>20000000</v>
      </c>
      <c r="BN25" s="51"/>
      <c r="BO25" s="51"/>
      <c r="BP25" s="51"/>
      <c r="BQ25" s="51">
        <v>30000000</v>
      </c>
      <c r="BR25" s="51"/>
      <c r="BS25" s="56">
        <f t="shared" si="22"/>
        <v>30000000</v>
      </c>
      <c r="BT25" s="51"/>
      <c r="BU25" s="51"/>
      <c r="BV25" s="51"/>
      <c r="BW25" s="51">
        <v>30000000</v>
      </c>
      <c r="BX25" s="51"/>
      <c r="BY25" s="56">
        <f t="shared" si="23"/>
        <v>30000000</v>
      </c>
      <c r="BZ25" s="51"/>
      <c r="CA25" s="51"/>
      <c r="CB25" s="51"/>
      <c r="CC25" s="51">
        <v>30000000</v>
      </c>
      <c r="CD25" s="51"/>
      <c r="CE25" s="56">
        <f t="shared" si="24"/>
        <v>30000000</v>
      </c>
      <c r="CF25" s="51"/>
      <c r="CG25" s="51"/>
      <c r="CH25" s="51"/>
      <c r="CI25" s="51">
        <v>30000000</v>
      </c>
      <c r="CJ25" s="51"/>
      <c r="CK25" s="56">
        <f t="shared" si="25"/>
        <v>30000000</v>
      </c>
      <c r="CL25" s="56">
        <f t="shared" si="9"/>
        <v>0</v>
      </c>
      <c r="CM25" s="56">
        <f t="shared" si="9"/>
        <v>0</v>
      </c>
      <c r="CN25" s="56">
        <f t="shared" si="9"/>
        <v>0</v>
      </c>
      <c r="CO25" s="56">
        <f t="shared" si="9"/>
        <v>200000000</v>
      </c>
      <c r="CP25" s="56">
        <f t="shared" si="9"/>
        <v>0</v>
      </c>
      <c r="CQ25" s="56">
        <f t="shared" si="9"/>
        <v>200000000</v>
      </c>
      <c r="CR25" s="37">
        <f t="shared" si="43"/>
        <v>0</v>
      </c>
      <c r="CS25" s="39">
        <f t="shared" si="44"/>
        <v>15000000</v>
      </c>
      <c r="CT25" s="53">
        <f t="shared" si="45"/>
        <v>15000000</v>
      </c>
      <c r="CU25" s="39">
        <f t="shared" si="46"/>
        <v>0</v>
      </c>
      <c r="CV25" s="39">
        <f t="shared" si="47"/>
        <v>0</v>
      </c>
      <c r="CW25" s="39">
        <f t="shared" si="48"/>
        <v>15000000</v>
      </c>
      <c r="CX25" s="39">
        <f t="shared" si="49"/>
        <v>15000000</v>
      </c>
      <c r="CY25" s="39">
        <f t="shared" si="50"/>
        <v>20000000</v>
      </c>
      <c r="CZ25" s="39">
        <f t="shared" si="51"/>
        <v>30000000</v>
      </c>
      <c r="DA25" s="39">
        <f t="shared" si="52"/>
        <v>30000000</v>
      </c>
      <c r="DB25" s="39">
        <f t="shared" si="53"/>
        <v>30000000</v>
      </c>
      <c r="DC25" s="39">
        <f t="shared" si="54"/>
        <v>30000000</v>
      </c>
      <c r="DD25" s="39">
        <f>+HLOOKUP('Reporte Evolución Mensual'!$F$2-2,$CR$2:$DC$251, Input!$DG25, FALSE)</f>
        <v>200000000</v>
      </c>
      <c r="DE25" s="39">
        <f>+HLOOKUP('Reporte Evolución Mensual'!$F$2-1,$CR$2:$DC$251, Input!$DG25, FALSE)</f>
        <v>150000000</v>
      </c>
      <c r="DF25" s="39">
        <f>+HLOOKUP('Reporte Evolución Mensual'!$F$2,$CR$2:$DC$371, Input!$DG25, FALSE)</f>
        <v>150000000</v>
      </c>
      <c r="DG25" s="40">
        <f t="shared" si="37"/>
        <v>25</v>
      </c>
      <c r="DH25" s="39"/>
      <c r="DI25" s="37">
        <f t="shared" si="55"/>
        <v>0</v>
      </c>
      <c r="DJ25" s="37">
        <f t="shared" si="56"/>
        <v>15000000</v>
      </c>
      <c r="DK25" s="37">
        <f t="shared" si="56"/>
        <v>30000000</v>
      </c>
      <c r="DL25" s="37">
        <f t="shared" si="56"/>
        <v>30000000</v>
      </c>
      <c r="DM25" s="37">
        <f t="shared" si="56"/>
        <v>30000000</v>
      </c>
      <c r="DN25" s="37">
        <f t="shared" si="56"/>
        <v>45000000</v>
      </c>
      <c r="DO25" s="37">
        <f t="shared" si="56"/>
        <v>60000000</v>
      </c>
      <c r="DP25" s="37">
        <f t="shared" si="56"/>
        <v>80000000</v>
      </c>
      <c r="DQ25" s="37">
        <f t="shared" si="56"/>
        <v>110000000</v>
      </c>
      <c r="DR25" s="37">
        <f t="shared" si="56"/>
        <v>140000000</v>
      </c>
      <c r="DS25" s="37">
        <f t="shared" si="56"/>
        <v>170000000</v>
      </c>
      <c r="DT25" s="37">
        <f t="shared" si="56"/>
        <v>200000000</v>
      </c>
      <c r="DU25" s="16"/>
      <c r="DV25" s="345" t="s">
        <v>163</v>
      </c>
    </row>
    <row r="26" spans="1:126" ht="15" customHeight="1" x14ac:dyDescent="0.3">
      <c r="A26" s="1" t="str">
        <f t="shared" si="0"/>
        <v>ADIFSE</v>
      </c>
      <c r="B26" s="1" t="str">
        <f t="shared" si="1"/>
        <v>ADIFSE</v>
      </c>
      <c r="C26" s="1" t="str">
        <f t="shared" si="2"/>
        <v>MAY</v>
      </c>
      <c r="D26" s="41" t="s">
        <v>163</v>
      </c>
      <c r="E26" s="30" t="str">
        <f t="shared" si="42"/>
        <v>Otras Transf. del Est. Nac. p/ Gastos de Capital</v>
      </c>
      <c r="F26" s="31" t="s">
        <v>181</v>
      </c>
      <c r="G26" s="1" t="s">
        <v>174</v>
      </c>
      <c r="H26" s="32" t="s">
        <v>182</v>
      </c>
      <c r="I26" s="32" t="s">
        <v>182</v>
      </c>
      <c r="J26" s="32" t="s">
        <v>166</v>
      </c>
      <c r="K26" s="51"/>
      <c r="L26" s="51"/>
      <c r="M26" s="51"/>
      <c r="N26" s="51"/>
      <c r="O26" s="51">
        <v>1500000000</v>
      </c>
      <c r="P26" s="51"/>
      <c r="Q26" s="56">
        <f t="shared" si="13"/>
        <v>1500000000</v>
      </c>
      <c r="R26" s="51"/>
      <c r="S26" s="51"/>
      <c r="T26" s="51"/>
      <c r="U26" s="51"/>
      <c r="V26" s="51"/>
      <c r="W26" s="56">
        <f t="shared" si="14"/>
        <v>0</v>
      </c>
      <c r="X26" s="51"/>
      <c r="Y26" s="51"/>
      <c r="Z26" s="51"/>
      <c r="AA26" s="51">
        <f>+'Proyeccion Transferencias'!L10</f>
        <v>200000000</v>
      </c>
      <c r="AB26" s="51"/>
      <c r="AC26" s="56">
        <f t="shared" si="15"/>
        <v>200000000</v>
      </c>
      <c r="AD26" s="51"/>
      <c r="AE26" s="51"/>
      <c r="AF26" s="51"/>
      <c r="AG26" s="51">
        <f>+'Proyeccion Transferencias'!M10</f>
        <v>200000000</v>
      </c>
      <c r="AH26" s="51"/>
      <c r="AI26" s="56">
        <f t="shared" si="16"/>
        <v>200000000</v>
      </c>
      <c r="AJ26" s="51"/>
      <c r="AK26" s="51"/>
      <c r="AL26" s="51"/>
      <c r="AM26" s="51">
        <v>150000000</v>
      </c>
      <c r="AN26" s="51"/>
      <c r="AO26" s="56">
        <f t="shared" si="17"/>
        <v>150000000</v>
      </c>
      <c r="AP26" s="51"/>
      <c r="AQ26" s="51"/>
      <c r="AR26" s="51"/>
      <c r="AS26" s="51">
        <v>150000000</v>
      </c>
      <c r="AT26" s="51"/>
      <c r="AU26" s="56">
        <f t="shared" si="18"/>
        <v>150000000</v>
      </c>
      <c r="AV26" s="51"/>
      <c r="AW26" s="51"/>
      <c r="AX26" s="51"/>
      <c r="AY26" s="51">
        <v>150000000</v>
      </c>
      <c r="AZ26" s="51"/>
      <c r="BA26" s="56">
        <f t="shared" si="19"/>
        <v>150000000</v>
      </c>
      <c r="BB26" s="51"/>
      <c r="BC26" s="51"/>
      <c r="BD26" s="51"/>
      <c r="BE26" s="51">
        <v>150000000</v>
      </c>
      <c r="BF26" s="51"/>
      <c r="BG26" s="56">
        <f t="shared" si="20"/>
        <v>150000000</v>
      </c>
      <c r="BH26" s="51"/>
      <c r="BI26" s="51"/>
      <c r="BJ26" s="51"/>
      <c r="BK26" s="51">
        <v>150000000</v>
      </c>
      <c r="BL26" s="51"/>
      <c r="BM26" s="56">
        <f t="shared" si="21"/>
        <v>150000000</v>
      </c>
      <c r="BN26" s="51"/>
      <c r="BO26" s="51"/>
      <c r="BP26" s="51"/>
      <c r="BQ26" s="51">
        <v>150000000</v>
      </c>
      <c r="BR26" s="51"/>
      <c r="BS26" s="56">
        <f t="shared" si="22"/>
        <v>150000000</v>
      </c>
      <c r="BT26" s="51"/>
      <c r="BU26" s="51"/>
      <c r="BV26" s="51"/>
      <c r="BW26" s="51">
        <f>+'Proyeccion Transferencias'!T10</f>
        <v>100000000</v>
      </c>
      <c r="BX26" s="51"/>
      <c r="BY26" s="56">
        <f t="shared" si="23"/>
        <v>100000000</v>
      </c>
      <c r="BZ26" s="51"/>
      <c r="CA26" s="51"/>
      <c r="CB26" s="51"/>
      <c r="CC26" s="51">
        <f>+'Proyeccion Transferencias'!U10</f>
        <v>100000000</v>
      </c>
      <c r="CD26" s="51"/>
      <c r="CE26" s="56">
        <f t="shared" si="24"/>
        <v>100000000</v>
      </c>
      <c r="CF26" s="51"/>
      <c r="CG26" s="51"/>
      <c r="CH26" s="51"/>
      <c r="CI26" s="51">
        <f>+'Proyeccion Transferencias'!V10</f>
        <v>0</v>
      </c>
      <c r="CJ26" s="51"/>
      <c r="CK26" s="56">
        <f t="shared" si="25"/>
        <v>0</v>
      </c>
      <c r="CL26" s="56">
        <f t="shared" si="9"/>
        <v>0</v>
      </c>
      <c r="CM26" s="56">
        <f t="shared" si="9"/>
        <v>0</v>
      </c>
      <c r="CN26" s="56">
        <f t="shared" si="9"/>
        <v>0</v>
      </c>
      <c r="CO26" s="56">
        <f t="shared" si="9"/>
        <v>1500000000</v>
      </c>
      <c r="CP26" s="56">
        <f t="shared" si="9"/>
        <v>0</v>
      </c>
      <c r="CQ26" s="56">
        <f t="shared" si="9"/>
        <v>1500000000</v>
      </c>
      <c r="CR26" s="37">
        <f t="shared" si="43"/>
        <v>0</v>
      </c>
      <c r="CS26" s="39">
        <f t="shared" si="44"/>
        <v>200000000</v>
      </c>
      <c r="CT26" s="53">
        <f t="shared" si="45"/>
        <v>200000000</v>
      </c>
      <c r="CU26" s="39">
        <f t="shared" si="46"/>
        <v>150000000</v>
      </c>
      <c r="CV26" s="39">
        <f t="shared" si="47"/>
        <v>150000000</v>
      </c>
      <c r="CW26" s="39">
        <f t="shared" si="48"/>
        <v>150000000</v>
      </c>
      <c r="CX26" s="39">
        <f t="shared" si="49"/>
        <v>150000000</v>
      </c>
      <c r="CY26" s="39">
        <f t="shared" si="50"/>
        <v>150000000</v>
      </c>
      <c r="CZ26" s="39">
        <f t="shared" si="51"/>
        <v>150000000</v>
      </c>
      <c r="DA26" s="39">
        <f t="shared" si="52"/>
        <v>100000000</v>
      </c>
      <c r="DB26" s="39">
        <f t="shared" si="53"/>
        <v>100000000</v>
      </c>
      <c r="DC26" s="39">
        <f t="shared" si="54"/>
        <v>0</v>
      </c>
      <c r="DD26" s="39">
        <f>+HLOOKUP('Reporte Evolución Mensual'!$F$2-2,$CR$2:$DC$251, Input!$DG26, FALSE)</f>
        <v>117000000</v>
      </c>
      <c r="DE26" s="39">
        <f>+HLOOKUP('Reporte Evolución Mensual'!$F$2-1,$CR$2:$DC$251, Input!$DG26, FALSE)</f>
        <v>49713000</v>
      </c>
      <c r="DF26" s="39">
        <f>+HLOOKUP('Reporte Evolución Mensual'!$F$2,$CR$2:$DC$371, Input!$DG26, FALSE)</f>
        <v>604323463.09872198</v>
      </c>
      <c r="DG26" s="40">
        <f t="shared" si="37"/>
        <v>26</v>
      </c>
      <c r="DH26" s="39"/>
      <c r="DI26" s="37">
        <f t="shared" si="55"/>
        <v>0</v>
      </c>
      <c r="DJ26" s="37">
        <f t="shared" si="56"/>
        <v>200000000</v>
      </c>
      <c r="DK26" s="37">
        <f t="shared" si="56"/>
        <v>400000000</v>
      </c>
      <c r="DL26" s="37">
        <f t="shared" si="56"/>
        <v>550000000</v>
      </c>
      <c r="DM26" s="37">
        <f t="shared" si="56"/>
        <v>700000000</v>
      </c>
      <c r="DN26" s="37">
        <f t="shared" si="56"/>
        <v>850000000</v>
      </c>
      <c r="DO26" s="37">
        <f t="shared" si="56"/>
        <v>1000000000</v>
      </c>
      <c r="DP26" s="37">
        <f t="shared" si="56"/>
        <v>1150000000</v>
      </c>
      <c r="DQ26" s="37">
        <f t="shared" si="56"/>
        <v>1300000000</v>
      </c>
      <c r="DR26" s="37">
        <f t="shared" si="56"/>
        <v>1400000000</v>
      </c>
      <c r="DS26" s="37">
        <f t="shared" si="56"/>
        <v>1500000000</v>
      </c>
      <c r="DT26" s="37">
        <f t="shared" si="56"/>
        <v>1500000000</v>
      </c>
      <c r="DU26" s="16"/>
      <c r="DV26" s="345" t="s">
        <v>163</v>
      </c>
    </row>
    <row r="27" spans="1:126" ht="15" customHeight="1" x14ac:dyDescent="0.3">
      <c r="A27" s="1" t="str">
        <f t="shared" si="0"/>
        <v>ADIFSE</v>
      </c>
      <c r="B27" s="1" t="str">
        <f t="shared" si="1"/>
        <v>ADIFSE</v>
      </c>
      <c r="C27" s="1" t="str">
        <f t="shared" si="2"/>
        <v>MAY</v>
      </c>
      <c r="D27" s="41" t="s">
        <v>163</v>
      </c>
      <c r="E27" s="30" t="str">
        <f t="shared" si="42"/>
        <v xml:space="preserve">Transf. del Sector Privado </v>
      </c>
      <c r="F27" s="31" t="s">
        <v>183</v>
      </c>
      <c r="G27" s="1" t="s">
        <v>174</v>
      </c>
      <c r="H27" s="32" t="s">
        <v>184</v>
      </c>
      <c r="I27" s="32" t="s">
        <v>184</v>
      </c>
      <c r="J27" s="32" t="s">
        <v>166</v>
      </c>
      <c r="K27" s="51"/>
      <c r="L27" s="51"/>
      <c r="M27" s="51"/>
      <c r="N27" s="51"/>
      <c r="O27" s="51">
        <v>5792708028.1344004</v>
      </c>
      <c r="P27" s="51"/>
      <c r="Q27" s="56">
        <f t="shared" si="13"/>
        <v>5792708028.1344004</v>
      </c>
      <c r="R27" s="51"/>
      <c r="S27" s="51"/>
      <c r="T27" s="51"/>
      <c r="U27" s="51"/>
      <c r="V27" s="51"/>
      <c r="W27" s="56">
        <f t="shared" si="14"/>
        <v>0</v>
      </c>
      <c r="X27" s="51"/>
      <c r="Y27" s="51"/>
      <c r="Z27" s="51"/>
      <c r="AA27" s="51"/>
      <c r="AB27" s="51">
        <v>0</v>
      </c>
      <c r="AC27" s="56">
        <f t="shared" si="15"/>
        <v>0</v>
      </c>
      <c r="AD27" s="51"/>
      <c r="AE27" s="51"/>
      <c r="AF27" s="51"/>
      <c r="AG27" s="51"/>
      <c r="AH27" s="51">
        <v>117000000</v>
      </c>
      <c r="AI27" s="56">
        <f t="shared" si="16"/>
        <v>117000000</v>
      </c>
      <c r="AJ27" s="51"/>
      <c r="AK27" s="51"/>
      <c r="AL27" s="51"/>
      <c r="AM27" s="51"/>
      <c r="AN27" s="51">
        <v>49713000</v>
      </c>
      <c r="AO27" s="56">
        <f t="shared" si="17"/>
        <v>49713000</v>
      </c>
      <c r="AP27" s="51"/>
      <c r="AQ27" s="51"/>
      <c r="AR27" s="51"/>
      <c r="AS27" s="51"/>
      <c r="AT27" s="51">
        <f>+AT67</f>
        <v>604323463.09872198</v>
      </c>
      <c r="AU27" s="56">
        <f t="shared" si="18"/>
        <v>604323463.09872198</v>
      </c>
      <c r="AV27" s="51"/>
      <c r="AW27" s="51"/>
      <c r="AX27" s="51"/>
      <c r="AY27" s="51"/>
      <c r="AZ27" s="452">
        <f>(49713+75729+70308)*1000</f>
        <v>195750000</v>
      </c>
      <c r="BA27" s="56">
        <f t="shared" si="19"/>
        <v>195750000</v>
      </c>
      <c r="BB27" s="51"/>
      <c r="BC27" s="51"/>
      <c r="BD27" s="51"/>
      <c r="BE27" s="51"/>
      <c r="BF27" s="452">
        <f>83625000+71241000</f>
        <v>154866000</v>
      </c>
      <c r="BG27" s="56">
        <f t="shared" si="20"/>
        <v>154866000</v>
      </c>
      <c r="BH27" s="51"/>
      <c r="BI27" s="51"/>
      <c r="BJ27" s="51"/>
      <c r="BK27" s="51"/>
      <c r="BL27" s="452">
        <f>490000000+72500000+200000000</f>
        <v>762500000</v>
      </c>
      <c r="BM27" s="56">
        <f t="shared" si="21"/>
        <v>762500000</v>
      </c>
      <c r="BN27" s="51"/>
      <c r="BO27" s="51"/>
      <c r="BP27" s="51"/>
      <c r="BQ27" s="51"/>
      <c r="BR27" s="452">
        <f>+BF67</f>
        <v>295648304.62660432</v>
      </c>
      <c r="BS27" s="56">
        <f t="shared" si="22"/>
        <v>295648304.62660432</v>
      </c>
      <c r="BT27" s="51"/>
      <c r="BU27" s="51"/>
      <c r="BV27" s="51"/>
      <c r="BW27" s="51"/>
      <c r="BX27" s="452">
        <f>+BL67</f>
        <v>456502479.72091794</v>
      </c>
      <c r="BY27" s="56">
        <f t="shared" si="23"/>
        <v>456502479.72091794</v>
      </c>
      <c r="BZ27" s="51"/>
      <c r="CA27" s="51"/>
      <c r="CB27" s="51"/>
      <c r="CC27" s="51"/>
      <c r="CD27" s="452">
        <f>+BR67</f>
        <v>610588957.21385944</v>
      </c>
      <c r="CE27" s="56">
        <f t="shared" si="24"/>
        <v>610588957.21385944</v>
      </c>
      <c r="CF27" s="51"/>
      <c r="CG27" s="51"/>
      <c r="CH27" s="51"/>
      <c r="CI27" s="51"/>
      <c r="CJ27" s="452">
        <f>+BX67</f>
        <v>538150982.10768926</v>
      </c>
      <c r="CK27" s="56">
        <f t="shared" si="25"/>
        <v>538150982.10768926</v>
      </c>
      <c r="CL27" s="56">
        <f t="shared" si="9"/>
        <v>0</v>
      </c>
      <c r="CM27" s="56">
        <f t="shared" si="9"/>
        <v>0</v>
      </c>
      <c r="CN27" s="56">
        <f t="shared" si="9"/>
        <v>0</v>
      </c>
      <c r="CO27" s="56">
        <f t="shared" si="9"/>
        <v>0</v>
      </c>
      <c r="CP27" s="56">
        <f t="shared" si="9"/>
        <v>3785043186.7677932</v>
      </c>
      <c r="CQ27" s="56">
        <f t="shared" si="9"/>
        <v>3785043186.7677932</v>
      </c>
      <c r="CR27" s="37">
        <f t="shared" si="43"/>
        <v>0</v>
      </c>
      <c r="CS27" s="39">
        <f t="shared" si="44"/>
        <v>0</v>
      </c>
      <c r="CT27" s="53">
        <f t="shared" si="45"/>
        <v>117000000</v>
      </c>
      <c r="CU27" s="39">
        <f t="shared" si="46"/>
        <v>49713000</v>
      </c>
      <c r="CV27" s="39">
        <f t="shared" si="47"/>
        <v>604323463.09872198</v>
      </c>
      <c r="CW27" s="39">
        <f t="shared" si="48"/>
        <v>195750000</v>
      </c>
      <c r="CX27" s="39">
        <f t="shared" si="49"/>
        <v>154866000</v>
      </c>
      <c r="CY27" s="39">
        <f t="shared" si="50"/>
        <v>762500000</v>
      </c>
      <c r="CZ27" s="39">
        <f t="shared" si="51"/>
        <v>295648304.62660432</v>
      </c>
      <c r="DA27" s="39">
        <f t="shared" si="52"/>
        <v>456502479.72091794</v>
      </c>
      <c r="DB27" s="39">
        <f t="shared" si="53"/>
        <v>610588957.21385944</v>
      </c>
      <c r="DC27" s="39">
        <f t="shared" si="54"/>
        <v>538150982.10768926</v>
      </c>
      <c r="DD27" s="39">
        <f>+HLOOKUP('Reporte Evolución Mensual'!$F$2-2,$CR$2:$DC$251, Input!$DG27, FALSE)</f>
        <v>0</v>
      </c>
      <c r="DE27" s="39">
        <f>+HLOOKUP('Reporte Evolución Mensual'!$F$2-1,$CR$2:$DC$251, Input!$DG27, FALSE)</f>
        <v>0</v>
      </c>
      <c r="DF27" s="39">
        <f>+HLOOKUP('Reporte Evolución Mensual'!$F$2,$CR$2:$DC$371, Input!$DG27, FALSE)</f>
        <v>0</v>
      </c>
      <c r="DG27" s="40">
        <f t="shared" si="37"/>
        <v>27</v>
      </c>
      <c r="DH27" s="39"/>
      <c r="DI27" s="37">
        <f t="shared" si="55"/>
        <v>0</v>
      </c>
      <c r="DJ27" s="37">
        <f t="shared" si="56"/>
        <v>0</v>
      </c>
      <c r="DK27" s="37">
        <f t="shared" si="56"/>
        <v>117000000</v>
      </c>
      <c r="DL27" s="37">
        <f t="shared" si="56"/>
        <v>166713000</v>
      </c>
      <c r="DM27" s="37">
        <f t="shared" si="56"/>
        <v>771036463.09872198</v>
      </c>
      <c r="DN27" s="37">
        <f t="shared" si="56"/>
        <v>966786463.09872198</v>
      </c>
      <c r="DO27" s="37">
        <f t="shared" si="56"/>
        <v>1121652463.098722</v>
      </c>
      <c r="DP27" s="37">
        <f t="shared" si="56"/>
        <v>1884152463.098722</v>
      </c>
      <c r="DQ27" s="37">
        <f t="shared" si="56"/>
        <v>2179800767.7253265</v>
      </c>
      <c r="DR27" s="37">
        <f t="shared" si="56"/>
        <v>2636303247.4462442</v>
      </c>
      <c r="DS27" s="37">
        <f t="shared" si="56"/>
        <v>3246892204.6601038</v>
      </c>
      <c r="DT27" s="37">
        <f t="shared" si="56"/>
        <v>3785043186.7677932</v>
      </c>
      <c r="DU27" s="16"/>
      <c r="DV27" s="345" t="s">
        <v>163</v>
      </c>
    </row>
    <row r="28" spans="1:126" ht="15" customHeight="1" x14ac:dyDescent="0.3">
      <c r="A28" s="1" t="str">
        <f t="shared" si="0"/>
        <v>ADIFSE</v>
      </c>
      <c r="B28" s="1" t="str">
        <f t="shared" si="1"/>
        <v>ADIFSE</v>
      </c>
      <c r="C28" s="1" t="str">
        <f t="shared" si="2"/>
        <v>MAY</v>
      </c>
      <c r="D28" s="41" t="s">
        <v>163</v>
      </c>
      <c r="E28" s="30" t="str">
        <f t="shared" si="42"/>
        <v>Obtención de Préstamos</v>
      </c>
      <c r="F28" s="31">
        <v>37</v>
      </c>
      <c r="G28" s="1" t="s">
        <v>174</v>
      </c>
      <c r="H28" s="32" t="s">
        <v>185</v>
      </c>
      <c r="I28" s="32" t="s">
        <v>185</v>
      </c>
      <c r="J28" s="32" t="s">
        <v>166</v>
      </c>
      <c r="K28" s="51"/>
      <c r="L28" s="60"/>
      <c r="M28" s="60"/>
      <c r="N28" s="60"/>
      <c r="O28" s="60"/>
      <c r="P28" s="51"/>
      <c r="Q28" s="56">
        <f t="shared" si="13"/>
        <v>0</v>
      </c>
      <c r="R28" s="60"/>
      <c r="S28" s="60"/>
      <c r="T28" s="60"/>
      <c r="U28" s="60"/>
      <c r="V28" s="51"/>
      <c r="W28" s="56">
        <f t="shared" si="14"/>
        <v>0</v>
      </c>
      <c r="X28" s="60"/>
      <c r="Y28" s="60"/>
      <c r="Z28" s="60"/>
      <c r="AA28" s="60"/>
      <c r="AB28" s="51"/>
      <c r="AC28" s="56">
        <f t="shared" si="15"/>
        <v>0</v>
      </c>
      <c r="AD28" s="60"/>
      <c r="AE28" s="60"/>
      <c r="AF28" s="60"/>
      <c r="AG28" s="60"/>
      <c r="AH28" s="51"/>
      <c r="AI28" s="56">
        <f t="shared" si="16"/>
        <v>0</v>
      </c>
      <c r="AJ28" s="60"/>
      <c r="AK28" s="60"/>
      <c r="AL28" s="60"/>
      <c r="AM28" s="60"/>
      <c r="AN28" s="51"/>
      <c r="AO28" s="56">
        <f t="shared" si="17"/>
        <v>0</v>
      </c>
      <c r="AP28" s="60"/>
      <c r="AQ28" s="60"/>
      <c r="AR28" s="60"/>
      <c r="AS28" s="60"/>
      <c r="AT28" s="51"/>
      <c r="AU28" s="56">
        <f t="shared" si="18"/>
        <v>0</v>
      </c>
      <c r="AV28" s="60"/>
      <c r="AW28" s="60"/>
      <c r="AX28" s="60"/>
      <c r="AY28" s="60"/>
      <c r="AZ28" s="51"/>
      <c r="BA28" s="56">
        <f t="shared" si="19"/>
        <v>0</v>
      </c>
      <c r="BB28" s="60"/>
      <c r="BC28" s="60"/>
      <c r="BD28" s="60"/>
      <c r="BE28" s="60"/>
      <c r="BF28" s="51"/>
      <c r="BG28" s="56">
        <f t="shared" si="20"/>
        <v>0</v>
      </c>
      <c r="BH28" s="60"/>
      <c r="BI28" s="60"/>
      <c r="BJ28" s="60"/>
      <c r="BK28" s="60"/>
      <c r="BL28" s="51"/>
      <c r="BM28" s="56">
        <f t="shared" si="21"/>
        <v>0</v>
      </c>
      <c r="BN28" s="60"/>
      <c r="BO28" s="60"/>
      <c r="BP28" s="60"/>
      <c r="BQ28" s="60"/>
      <c r="BR28" s="51"/>
      <c r="BS28" s="56">
        <f t="shared" si="22"/>
        <v>0</v>
      </c>
      <c r="BT28" s="60"/>
      <c r="BU28" s="60"/>
      <c r="BV28" s="60"/>
      <c r="BW28" s="60"/>
      <c r="BX28" s="51"/>
      <c r="BY28" s="56">
        <f t="shared" si="23"/>
        <v>0</v>
      </c>
      <c r="BZ28" s="60"/>
      <c r="CA28" s="60"/>
      <c r="CB28" s="60"/>
      <c r="CC28" s="60"/>
      <c r="CD28" s="51"/>
      <c r="CE28" s="56">
        <f t="shared" si="24"/>
        <v>0</v>
      </c>
      <c r="CF28" s="60"/>
      <c r="CG28" s="60"/>
      <c r="CH28" s="60"/>
      <c r="CI28" s="60"/>
      <c r="CJ28" s="51"/>
      <c r="CK28" s="56">
        <f t="shared" si="25"/>
        <v>0</v>
      </c>
      <c r="CL28" s="56">
        <f t="shared" si="9"/>
        <v>0</v>
      </c>
      <c r="CM28" s="56">
        <f t="shared" si="9"/>
        <v>0</v>
      </c>
      <c r="CN28" s="56">
        <f t="shared" si="9"/>
        <v>0</v>
      </c>
      <c r="CO28" s="56">
        <f t="shared" si="9"/>
        <v>0</v>
      </c>
      <c r="CP28" s="56">
        <f t="shared" si="9"/>
        <v>0</v>
      </c>
      <c r="CQ28" s="56">
        <f t="shared" si="9"/>
        <v>0</v>
      </c>
      <c r="CR28" s="37">
        <f t="shared" si="43"/>
        <v>0</v>
      </c>
      <c r="CS28" s="39">
        <f t="shared" si="44"/>
        <v>0</v>
      </c>
      <c r="CT28" s="53">
        <f t="shared" si="45"/>
        <v>0</v>
      </c>
      <c r="CU28" s="39">
        <f t="shared" si="46"/>
        <v>0</v>
      </c>
      <c r="CV28" s="39">
        <f t="shared" si="47"/>
        <v>0</v>
      </c>
      <c r="CW28" s="39">
        <f t="shared" si="48"/>
        <v>0</v>
      </c>
      <c r="CX28" s="39">
        <f t="shared" si="49"/>
        <v>0</v>
      </c>
      <c r="CY28" s="39">
        <f t="shared" si="50"/>
        <v>0</v>
      </c>
      <c r="CZ28" s="39">
        <f t="shared" si="51"/>
        <v>0</v>
      </c>
      <c r="DA28" s="39">
        <f t="shared" si="52"/>
        <v>0</v>
      </c>
      <c r="DB28" s="39">
        <f t="shared" si="53"/>
        <v>0</v>
      </c>
      <c r="DC28" s="39">
        <f t="shared" si="54"/>
        <v>0</v>
      </c>
      <c r="DD28" s="39">
        <f>+HLOOKUP('Reporte Evolución Mensual'!$F$2-2,$CR$2:$DC$251, Input!$DG28, FALSE)</f>
        <v>10606121.666666666</v>
      </c>
      <c r="DE28" s="39">
        <f>+HLOOKUP('Reporte Evolución Mensual'!$F$2-1,$CR$2:$DC$251, Input!$DG28, FALSE)</f>
        <v>141739305.44513953</v>
      </c>
      <c r="DF28" s="39">
        <f>+HLOOKUP('Reporte Evolución Mensual'!$F$2,$CR$2:$DC$371, Input!$DG28, FALSE)</f>
        <v>15142832.651625</v>
      </c>
      <c r="DG28" s="40">
        <f t="shared" si="37"/>
        <v>28</v>
      </c>
      <c r="DH28" s="39"/>
      <c r="DI28" s="37">
        <f t="shared" si="55"/>
        <v>0</v>
      </c>
      <c r="DJ28" s="37">
        <f t="shared" si="56"/>
        <v>0</v>
      </c>
      <c r="DK28" s="37">
        <f t="shared" si="56"/>
        <v>0</v>
      </c>
      <c r="DL28" s="37">
        <f t="shared" si="56"/>
        <v>0</v>
      </c>
      <c r="DM28" s="37">
        <f t="shared" si="56"/>
        <v>0</v>
      </c>
      <c r="DN28" s="37">
        <f t="shared" si="56"/>
        <v>0</v>
      </c>
      <c r="DO28" s="37">
        <f t="shared" si="56"/>
        <v>0</v>
      </c>
      <c r="DP28" s="37">
        <f t="shared" si="56"/>
        <v>0</v>
      </c>
      <c r="DQ28" s="37">
        <f t="shared" si="56"/>
        <v>0</v>
      </c>
      <c r="DR28" s="37">
        <f t="shared" si="56"/>
        <v>0</v>
      </c>
      <c r="DS28" s="37">
        <f t="shared" si="56"/>
        <v>0</v>
      </c>
      <c r="DT28" s="37">
        <f t="shared" si="56"/>
        <v>0</v>
      </c>
      <c r="DU28" s="16"/>
      <c r="DV28" s="345" t="s">
        <v>163</v>
      </c>
    </row>
    <row r="29" spans="1:126" ht="15" customHeight="1" x14ac:dyDescent="0.3">
      <c r="A29" s="1" t="str">
        <f t="shared" si="0"/>
        <v>ADIFSE</v>
      </c>
      <c r="B29" s="1" t="str">
        <f t="shared" si="1"/>
        <v>ADIFSE</v>
      </c>
      <c r="C29" s="1" t="str">
        <f t="shared" si="2"/>
        <v>MAY</v>
      </c>
      <c r="D29" s="41" t="s">
        <v>163</v>
      </c>
      <c r="E29" s="30" t="str">
        <f t="shared" si="42"/>
        <v>Disminución de activos financieros/ Incremento de Pasivos</v>
      </c>
      <c r="F29" s="31" t="s">
        <v>186</v>
      </c>
      <c r="G29" s="1" t="s">
        <v>174</v>
      </c>
      <c r="H29" s="32" t="s">
        <v>187</v>
      </c>
      <c r="I29" s="32" t="s">
        <v>188</v>
      </c>
      <c r="J29" s="32" t="s">
        <v>166</v>
      </c>
      <c r="K29" s="38">
        <f>+IF((SUM(K23:K28)+K20-K64-K94-SUM(K99:K102)-K104)&lt;0,-(SUM(K23:K28)+K20-K64-K94-SUM(K99:K102)-K104),0)</f>
        <v>925863275.05653572</v>
      </c>
      <c r="L29" s="51"/>
      <c r="M29" s="51"/>
      <c r="N29" s="51"/>
      <c r="O29" s="51"/>
      <c r="P29" s="51"/>
      <c r="Q29" s="56">
        <f t="shared" si="13"/>
        <v>0</v>
      </c>
      <c r="R29" s="38">
        <f t="shared" ref="R29:V29" si="57">+IF((SUM(R23:R28)+R20-R64-R94-SUM(R99:R102)-R104)&lt;0,-(SUM(R23:R28)+R20-R64-R94-SUM(R99:R102)-R104),0)</f>
        <v>375454048.63461781</v>
      </c>
      <c r="S29" s="38">
        <f>+IF((SUM(S23:S28)+S20-S64-S94-SUM(S99:S102)-S104)&lt;0,-(SUM(S23:S28)+S20-S64-S94-SUM(S99:S102)-S104),0)</f>
        <v>0</v>
      </c>
      <c r="T29" s="38">
        <f t="shared" si="57"/>
        <v>0</v>
      </c>
      <c r="U29" s="38">
        <f t="shared" si="57"/>
        <v>0</v>
      </c>
      <c r="V29" s="38">
        <f t="shared" si="57"/>
        <v>0</v>
      </c>
      <c r="W29" s="56">
        <f>+SUM(R29:V29)</f>
        <v>375454048.63461781</v>
      </c>
      <c r="X29" s="38">
        <f t="shared" ref="X29:AB29" si="58">+IF((SUM(X23:X28)+X20-X64-X94-SUM(X99:X102)-X104)&gt;0,(SUM(X23:X28)+X20-X64-X94-SUM(X99:X102)-X104),0)</f>
        <v>0</v>
      </c>
      <c r="Y29" s="38">
        <f t="shared" si="58"/>
        <v>0</v>
      </c>
      <c r="Z29" s="38">
        <f t="shared" si="58"/>
        <v>0</v>
      </c>
      <c r="AA29" s="38">
        <f t="shared" si="58"/>
        <v>0</v>
      </c>
      <c r="AB29" s="38">
        <f t="shared" si="58"/>
        <v>0</v>
      </c>
      <c r="AC29" s="56">
        <f>+SUM(X29:AB29)</f>
        <v>0</v>
      </c>
      <c r="AD29" s="38">
        <f t="shared" ref="AD29:AH29" si="59">+IF((SUM(AD23:AD28)+AD20-AD64-AD94-SUM(AD99:AD102)-AD104)&gt;0,(SUM(AD23:AD28)+AD20-AD64-AD94-SUM(AD99:AD102)-AD104),0)</f>
        <v>0</v>
      </c>
      <c r="AE29" s="38">
        <f t="shared" si="59"/>
        <v>10606121.666666666</v>
      </c>
      <c r="AF29" s="38">
        <f t="shared" si="59"/>
        <v>0</v>
      </c>
      <c r="AG29" s="38">
        <f t="shared" si="59"/>
        <v>0</v>
      </c>
      <c r="AH29" s="38">
        <f t="shared" si="59"/>
        <v>0</v>
      </c>
      <c r="AI29" s="56">
        <f>+SUM(AD29:AH29)</f>
        <v>10606121.666666666</v>
      </c>
      <c r="AJ29" s="38">
        <f t="shared" ref="AJ29:AN29" si="60">+IF((SUM(AJ23:AJ28)+AJ20-AJ64-AJ94-SUM(AJ99:AJ102)-AJ104)&gt;0,(SUM(AJ23:AJ28)+AJ20-AJ64-AJ94-SUM(AJ99:AJ102)-AJ104),0)</f>
        <v>124665480.32684785</v>
      </c>
      <c r="AK29" s="38">
        <f t="shared" si="60"/>
        <v>17073825.118291669</v>
      </c>
      <c r="AL29" s="38">
        <f t="shared" si="60"/>
        <v>0</v>
      </c>
      <c r="AM29" s="38">
        <f t="shared" si="60"/>
        <v>0</v>
      </c>
      <c r="AN29" s="38">
        <f t="shared" si="60"/>
        <v>0</v>
      </c>
      <c r="AO29" s="56">
        <f>+SUM(AJ29:AN29)</f>
        <v>141739305.44513953</v>
      </c>
      <c r="AP29" s="38">
        <f t="shared" ref="AP29:AT29" si="61">+IF((SUM(AP23:AP28)+AP20-AP64-AP94-SUM(AP99:AP102)-AP104)&gt;0,(SUM(AP23:AP28)+AP20-AP64-AP94-SUM(AP99:AP102)-AP104),0)</f>
        <v>0</v>
      </c>
      <c r="AQ29" s="38">
        <f t="shared" si="61"/>
        <v>15142832.651625</v>
      </c>
      <c r="AR29" s="38">
        <f t="shared" si="61"/>
        <v>0</v>
      </c>
      <c r="AS29" s="38">
        <f t="shared" si="61"/>
        <v>0</v>
      </c>
      <c r="AT29" s="38">
        <f t="shared" si="61"/>
        <v>0</v>
      </c>
      <c r="AU29" s="56">
        <f>+SUM(AP29:AT29)</f>
        <v>15142832.651625</v>
      </c>
      <c r="AV29" s="38">
        <f t="shared" ref="AV29:AZ29" si="62">+IF((SUM(AV23:AV28)+AV20-AV64-AV94-SUM(AV99:AV102)-AV104)&gt;0,(SUM(AV23:AV28)+AV20-AV64-AV94-SUM(AV99:AV102)-AV104),0)</f>
        <v>0</v>
      </c>
      <c r="AW29" s="38">
        <f t="shared" si="62"/>
        <v>7990453.4516249998</v>
      </c>
      <c r="AX29" s="38">
        <f t="shared" si="62"/>
        <v>0</v>
      </c>
      <c r="AY29" s="38">
        <f t="shared" si="62"/>
        <v>0</v>
      </c>
      <c r="AZ29" s="38">
        <f t="shared" si="62"/>
        <v>0</v>
      </c>
      <c r="BA29" s="56">
        <f>+SUM(AV29:AZ29)</f>
        <v>7990453.4516249998</v>
      </c>
      <c r="BB29" s="38">
        <f t="shared" ref="BB29:BF29" si="63">+IF((SUM(BB23:BB28)+BB20-BB64-BB94-SUM(BB99:BB102)-BB104)&gt;0,(SUM(BB23:BB28)+BB20-BB64-BB94-SUM(BB99:BB102)-BB104),0)</f>
        <v>0</v>
      </c>
      <c r="BC29" s="38">
        <f t="shared" si="63"/>
        <v>7990453.4516249895</v>
      </c>
      <c r="BD29" s="38">
        <f t="shared" si="63"/>
        <v>0</v>
      </c>
      <c r="BE29" s="38">
        <f t="shared" si="63"/>
        <v>0</v>
      </c>
      <c r="BF29" s="38">
        <f t="shared" si="63"/>
        <v>0</v>
      </c>
      <c r="BG29" s="56">
        <f>+SUM(BB29:BF29)</f>
        <v>7990453.4516249895</v>
      </c>
      <c r="BH29" s="38">
        <f t="shared" ref="BH29:BL29" si="64">+IF((SUM(BH23:BH28)+BH20-BH64-BH94-SUM(BH99:BH102)-BH104)&gt;0,(SUM(BH23:BH28)+BH20-BH64-BH94-SUM(BH99:BH102)-BH104),0)</f>
        <v>0</v>
      </c>
      <c r="BI29" s="38">
        <f t="shared" si="64"/>
        <v>148936853.45162499</v>
      </c>
      <c r="BJ29" s="38">
        <f t="shared" si="64"/>
        <v>0</v>
      </c>
      <c r="BK29" s="38">
        <f t="shared" si="64"/>
        <v>0</v>
      </c>
      <c r="BL29" s="38">
        <f t="shared" si="64"/>
        <v>0</v>
      </c>
      <c r="BM29" s="56">
        <f>+SUM(BH29:BL29)</f>
        <v>148936853.45162499</v>
      </c>
      <c r="BN29" s="38">
        <f t="shared" ref="BN29:BR29" si="65">+IF((SUM(BN23:BN28)+BN20-BN64-BN94-SUM(BN99:BN102)-BN104)&gt;0,(SUM(BN23:BN28)+BN20-BN64-BN94-SUM(BN99:BN102)-BN104),0)</f>
        <v>0</v>
      </c>
      <c r="BO29" s="38">
        <f t="shared" si="65"/>
        <v>16411149.984999999</v>
      </c>
      <c r="BP29" s="38">
        <f t="shared" si="65"/>
        <v>0</v>
      </c>
      <c r="BQ29" s="38">
        <f t="shared" si="65"/>
        <v>0</v>
      </c>
      <c r="BR29" s="38">
        <f t="shared" si="65"/>
        <v>0</v>
      </c>
      <c r="BS29" s="56">
        <f>+SUM(BN29:BR29)</f>
        <v>16411149.984999999</v>
      </c>
      <c r="BT29" s="38">
        <f t="shared" ref="BT29:BX29" si="66">+IF((SUM(BT23:BT28)+BT20-BT64-BT94-SUM(BT99:BT102)-BT104)&gt;0,(SUM(BT23:BT28)+BT20-BT64-BT94-SUM(BT99:BT102)-BT104),0)</f>
        <v>0</v>
      </c>
      <c r="BU29" s="38">
        <f t="shared" si="66"/>
        <v>10894847.35</v>
      </c>
      <c r="BV29" s="38">
        <f t="shared" si="66"/>
        <v>0</v>
      </c>
      <c r="BW29" s="38">
        <f t="shared" si="66"/>
        <v>0</v>
      </c>
      <c r="BX29" s="38">
        <f t="shared" si="66"/>
        <v>0</v>
      </c>
      <c r="BY29" s="56">
        <f>+SUM(BT29:BX29)</f>
        <v>10894847.35</v>
      </c>
      <c r="BZ29" s="38">
        <f t="shared" ref="BZ29:CD29" si="67">+IF((SUM(BZ23:BZ28)+BZ20-BZ64-BZ94-SUM(BZ99:BZ102)-BZ104)&gt;0,(SUM(BZ23:BZ28)+BZ20-BZ64-BZ94-SUM(BZ99:BZ102)-BZ104),0)</f>
        <v>0</v>
      </c>
      <c r="CA29" s="38">
        <f t="shared" si="67"/>
        <v>16066952.449999999</v>
      </c>
      <c r="CB29" s="38">
        <f t="shared" si="67"/>
        <v>0</v>
      </c>
      <c r="CC29" s="38">
        <f t="shared" si="67"/>
        <v>0</v>
      </c>
      <c r="CD29" s="38">
        <f t="shared" si="67"/>
        <v>0</v>
      </c>
      <c r="CE29" s="56">
        <f>+SUM(BZ29:CD29)</f>
        <v>16066952.449999999</v>
      </c>
      <c r="CF29" s="38">
        <f t="shared" ref="CF29:CJ29" si="68">+IF((SUM(CF23:CF28)+CF20-CF64-CF94-SUM(CF99:CF102)-CF104)&gt;0,(SUM(CF23:CF28)+CF20-CF64-CF94-SUM(CF99:CF102)-CF104),0)</f>
        <v>0</v>
      </c>
      <c r="CG29" s="38">
        <f t="shared" si="68"/>
        <v>4305900</v>
      </c>
      <c r="CH29" s="38">
        <f t="shared" si="68"/>
        <v>0</v>
      </c>
      <c r="CI29" s="38">
        <f t="shared" si="68"/>
        <v>0</v>
      </c>
      <c r="CJ29" s="38">
        <f t="shared" si="68"/>
        <v>0</v>
      </c>
      <c r="CK29" s="56">
        <f>+SUM(CF29:CJ29)</f>
        <v>4305900</v>
      </c>
      <c r="CL29" s="38">
        <f t="shared" si="9"/>
        <v>500119528.96146566</v>
      </c>
      <c r="CM29" s="38">
        <f t="shared" si="9"/>
        <v>255419389.57645831</v>
      </c>
      <c r="CN29" s="38">
        <f t="shared" si="9"/>
        <v>0</v>
      </c>
      <c r="CO29" s="38">
        <f t="shared" si="9"/>
        <v>0</v>
      </c>
      <c r="CP29" s="38">
        <f t="shared" si="9"/>
        <v>0</v>
      </c>
      <c r="CQ29" s="56">
        <f t="shared" si="9"/>
        <v>755538918.53792405</v>
      </c>
      <c r="CR29" s="37">
        <f t="shared" si="43"/>
        <v>375454048.63461781</v>
      </c>
      <c r="CS29" s="39">
        <f t="shared" si="44"/>
        <v>0</v>
      </c>
      <c r="CT29" s="53">
        <f t="shared" si="45"/>
        <v>10606121.666666666</v>
      </c>
      <c r="CU29" s="39">
        <f t="shared" si="46"/>
        <v>141739305.44513953</v>
      </c>
      <c r="CV29" s="39">
        <f t="shared" si="47"/>
        <v>15142832.651625</v>
      </c>
      <c r="CW29" s="39">
        <f t="shared" si="48"/>
        <v>7990453.4516249998</v>
      </c>
      <c r="CX29" s="39">
        <f t="shared" si="49"/>
        <v>7990453.4516249895</v>
      </c>
      <c r="CY29" s="39">
        <f t="shared" si="50"/>
        <v>148936853.45162499</v>
      </c>
      <c r="CZ29" s="39">
        <f t="shared" si="51"/>
        <v>16411149.984999999</v>
      </c>
      <c r="DA29" s="39">
        <f t="shared" si="52"/>
        <v>10894847.35</v>
      </c>
      <c r="DB29" s="39">
        <f t="shared" si="53"/>
        <v>16066952.449999999</v>
      </c>
      <c r="DC29" s="39">
        <f t="shared" si="54"/>
        <v>4305900</v>
      </c>
      <c r="DD29" s="39">
        <f>+HLOOKUP('Reporte Evolución Mensual'!$F$2-2,$CR$2:$DC$251, Input!$DG29, FALSE)</f>
        <v>811831121.66666663</v>
      </c>
      <c r="DE29" s="39">
        <f>+HLOOKUP('Reporte Evolución Mensual'!$F$2-1,$CR$2:$DC$251, Input!$DG29, FALSE)</f>
        <v>825057305.44513953</v>
      </c>
      <c r="DF29" s="39">
        <f>+HLOOKUP('Reporte Evolución Mensual'!$F$2,$CR$2:$DC$371, Input!$DG29, FALSE)</f>
        <v>1121190306.592685</v>
      </c>
      <c r="DG29" s="40">
        <f t="shared" si="37"/>
        <v>29</v>
      </c>
      <c r="DH29" s="39"/>
      <c r="DI29" s="37">
        <f t="shared" si="55"/>
        <v>375454048.63461781</v>
      </c>
      <c r="DJ29" s="37">
        <f t="shared" si="56"/>
        <v>375454048.63461781</v>
      </c>
      <c r="DK29" s="37">
        <f t="shared" si="56"/>
        <v>386060170.30128449</v>
      </c>
      <c r="DL29" s="37">
        <f t="shared" si="56"/>
        <v>527799475.74642402</v>
      </c>
      <c r="DM29" s="37">
        <f t="shared" si="56"/>
        <v>542942308.398049</v>
      </c>
      <c r="DN29" s="37">
        <f t="shared" si="56"/>
        <v>550932761.84967399</v>
      </c>
      <c r="DO29" s="37">
        <f t="shared" si="56"/>
        <v>558923215.30129898</v>
      </c>
      <c r="DP29" s="37">
        <f t="shared" si="56"/>
        <v>707860068.75292397</v>
      </c>
      <c r="DQ29" s="37">
        <f t="shared" si="56"/>
        <v>724271218.73792398</v>
      </c>
      <c r="DR29" s="37">
        <f t="shared" si="56"/>
        <v>735166066.087924</v>
      </c>
      <c r="DS29" s="37">
        <f t="shared" si="56"/>
        <v>751233018.53792405</v>
      </c>
      <c r="DT29" s="37">
        <f t="shared" si="56"/>
        <v>755538918.53792405</v>
      </c>
      <c r="DU29" s="16"/>
      <c r="DV29" s="345" t="s">
        <v>163</v>
      </c>
    </row>
    <row r="30" spans="1:126" ht="15" customHeight="1" x14ac:dyDescent="0.3">
      <c r="A30" s="1" t="str">
        <f t="shared" si="0"/>
        <v>ADIFSE</v>
      </c>
      <c r="B30" s="1" t="str">
        <f t="shared" si="1"/>
        <v>ADIFSE</v>
      </c>
      <c r="C30" s="1" t="str">
        <f t="shared" si="2"/>
        <v>MAY</v>
      </c>
      <c r="D30" s="41" t="s">
        <v>108</v>
      </c>
      <c r="E30" s="54" t="str">
        <f>CONCATENATE(E22," - ",I30)</f>
        <v>Otros Recursos - Total</v>
      </c>
      <c r="F30" s="43"/>
      <c r="G30" s="1" t="s">
        <v>174</v>
      </c>
      <c r="H30" s="32" t="s">
        <v>173</v>
      </c>
      <c r="I30" s="32" t="s">
        <v>173</v>
      </c>
      <c r="J30" s="32" t="s">
        <v>166</v>
      </c>
      <c r="K30" s="45">
        <f>SUM(K23:K29)</f>
        <v>5961098493.0565357</v>
      </c>
      <c r="L30" s="55">
        <f t="shared" ref="L30:Q30" si="69">SUM(L23:L29)</f>
        <v>4095800000</v>
      </c>
      <c r="M30" s="55">
        <f t="shared" si="69"/>
        <v>0</v>
      </c>
      <c r="N30" s="55">
        <f t="shared" si="69"/>
        <v>0</v>
      </c>
      <c r="O30" s="55">
        <f t="shared" si="69"/>
        <v>7492708028.1344004</v>
      </c>
      <c r="P30" s="55">
        <f t="shared" si="69"/>
        <v>234014767</v>
      </c>
      <c r="Q30" s="55">
        <f t="shared" si="69"/>
        <v>11822522795.134399</v>
      </c>
      <c r="R30" s="55">
        <f t="shared" ref="R30:AW30" si="70">SUM(R23:R29)</f>
        <v>420834048.63461781</v>
      </c>
      <c r="S30" s="55">
        <f t="shared" si="70"/>
        <v>0</v>
      </c>
      <c r="T30" s="55">
        <f t="shared" si="70"/>
        <v>0</v>
      </c>
      <c r="U30" s="55">
        <f t="shared" si="70"/>
        <v>0</v>
      </c>
      <c r="V30" s="55">
        <f t="shared" si="70"/>
        <v>0</v>
      </c>
      <c r="W30" s="55">
        <f t="shared" si="70"/>
        <v>420834048.63461781</v>
      </c>
      <c r="X30" s="55">
        <f t="shared" si="70"/>
        <v>483605000</v>
      </c>
      <c r="Y30" s="55">
        <f t="shared" si="70"/>
        <v>0</v>
      </c>
      <c r="Z30" s="55">
        <f t="shared" si="70"/>
        <v>0</v>
      </c>
      <c r="AA30" s="55">
        <f t="shared" si="70"/>
        <v>215000000</v>
      </c>
      <c r="AB30" s="55">
        <f t="shared" si="70"/>
        <v>0</v>
      </c>
      <c r="AC30" s="55">
        <f t="shared" si="70"/>
        <v>698605000</v>
      </c>
      <c r="AD30" s="55">
        <f t="shared" si="70"/>
        <v>469225000</v>
      </c>
      <c r="AE30" s="55">
        <f t="shared" si="70"/>
        <v>10606121.666666666</v>
      </c>
      <c r="AF30" s="55">
        <f t="shared" si="70"/>
        <v>0</v>
      </c>
      <c r="AG30" s="55">
        <f t="shared" si="70"/>
        <v>215000000</v>
      </c>
      <c r="AH30" s="55">
        <f t="shared" si="70"/>
        <v>117000000</v>
      </c>
      <c r="AI30" s="55">
        <f t="shared" si="70"/>
        <v>811831121.66666663</v>
      </c>
      <c r="AJ30" s="55">
        <f t="shared" si="70"/>
        <v>608270480.32684779</v>
      </c>
      <c r="AK30" s="55">
        <f t="shared" si="70"/>
        <v>17073825.118291669</v>
      </c>
      <c r="AL30" s="55">
        <f t="shared" si="70"/>
        <v>0</v>
      </c>
      <c r="AM30" s="55">
        <f t="shared" si="70"/>
        <v>150000000</v>
      </c>
      <c r="AN30" s="55">
        <f t="shared" si="70"/>
        <v>49713000</v>
      </c>
      <c r="AO30" s="55">
        <f t="shared" si="70"/>
        <v>825057305.44513953</v>
      </c>
      <c r="AP30" s="55">
        <f t="shared" si="70"/>
        <v>351724010.84233797</v>
      </c>
      <c r="AQ30" s="55">
        <f t="shared" si="70"/>
        <v>15142832.651625</v>
      </c>
      <c r="AR30" s="55">
        <f t="shared" si="70"/>
        <v>0</v>
      </c>
      <c r="AS30" s="55">
        <f t="shared" si="70"/>
        <v>150000000</v>
      </c>
      <c r="AT30" s="55">
        <f t="shared" si="70"/>
        <v>604323463.09872198</v>
      </c>
      <c r="AU30" s="55">
        <f t="shared" si="70"/>
        <v>1121190306.592685</v>
      </c>
      <c r="AV30" s="55">
        <f t="shared" si="70"/>
        <v>533143300.62569237</v>
      </c>
      <c r="AW30" s="55">
        <f t="shared" si="70"/>
        <v>7990453.4516249998</v>
      </c>
      <c r="AX30" s="55">
        <f t="shared" ref="AX30:BW30" si="71">SUM(AX23:AX29)</f>
        <v>0</v>
      </c>
      <c r="AY30" s="55">
        <f t="shared" si="71"/>
        <v>165000000</v>
      </c>
      <c r="AZ30" s="55">
        <f t="shared" si="71"/>
        <v>195750000</v>
      </c>
      <c r="BA30" s="55">
        <f t="shared" si="71"/>
        <v>901883754.07731736</v>
      </c>
      <c r="BB30" s="55">
        <f t="shared" si="71"/>
        <v>698050633.03697574</v>
      </c>
      <c r="BC30" s="55">
        <f t="shared" si="71"/>
        <v>7990453.4516249895</v>
      </c>
      <c r="BD30" s="55">
        <f t="shared" si="71"/>
        <v>0</v>
      </c>
      <c r="BE30" s="55">
        <f t="shared" si="71"/>
        <v>165000000</v>
      </c>
      <c r="BF30" s="55">
        <f t="shared" si="71"/>
        <v>154866000</v>
      </c>
      <c r="BG30" s="55">
        <f t="shared" si="71"/>
        <v>1025907086.4886007</v>
      </c>
      <c r="BH30" s="55">
        <f t="shared" si="71"/>
        <v>526647729.63182127</v>
      </c>
      <c r="BI30" s="55">
        <f t="shared" si="71"/>
        <v>148936853.45162499</v>
      </c>
      <c r="BJ30" s="55">
        <f t="shared" si="71"/>
        <v>0</v>
      </c>
      <c r="BK30" s="55">
        <f t="shared" si="71"/>
        <v>170000000</v>
      </c>
      <c r="BL30" s="55">
        <f t="shared" si="71"/>
        <v>762500000</v>
      </c>
      <c r="BM30" s="55">
        <f t="shared" si="71"/>
        <v>1608084583.083446</v>
      </c>
      <c r="BN30" s="55">
        <f t="shared" si="71"/>
        <v>462879628.4829281</v>
      </c>
      <c r="BO30" s="55">
        <f t="shared" si="71"/>
        <v>16411149.984999999</v>
      </c>
      <c r="BP30" s="55">
        <f t="shared" si="71"/>
        <v>0</v>
      </c>
      <c r="BQ30" s="55">
        <f t="shared" si="71"/>
        <v>180000000</v>
      </c>
      <c r="BR30" s="55">
        <f t="shared" si="71"/>
        <v>295648304.62660432</v>
      </c>
      <c r="BS30" s="55">
        <f t="shared" si="71"/>
        <v>954939083.09453237</v>
      </c>
      <c r="BT30" s="55">
        <f t="shared" si="71"/>
        <v>646562583.8771652</v>
      </c>
      <c r="BU30" s="55">
        <f t="shared" si="71"/>
        <v>10894847.35</v>
      </c>
      <c r="BV30" s="55">
        <f t="shared" si="71"/>
        <v>0</v>
      </c>
      <c r="BW30" s="55">
        <f t="shared" si="71"/>
        <v>130000000</v>
      </c>
      <c r="BX30" s="55">
        <f t="shared" ref="BX30:CK30" si="72">SUM(BX23:BX29)</f>
        <v>456502479.72091794</v>
      </c>
      <c r="BY30" s="55">
        <f t="shared" si="72"/>
        <v>1243959910.9480829</v>
      </c>
      <c r="BZ30" s="55">
        <f t="shared" si="72"/>
        <v>327167086.24302328</v>
      </c>
      <c r="CA30" s="55">
        <f t="shared" si="72"/>
        <v>16066952.449999999</v>
      </c>
      <c r="CB30" s="55">
        <f t="shared" si="72"/>
        <v>0</v>
      </c>
      <c r="CC30" s="55">
        <f t="shared" si="72"/>
        <v>130000000</v>
      </c>
      <c r="CD30" s="55">
        <f t="shared" si="72"/>
        <v>610588957.21385944</v>
      </c>
      <c r="CE30" s="55">
        <f t="shared" si="72"/>
        <v>1083822995.9068828</v>
      </c>
      <c r="CF30" s="55">
        <f t="shared" si="72"/>
        <v>591421948.03838551</v>
      </c>
      <c r="CG30" s="55">
        <f t="shared" si="72"/>
        <v>4305900</v>
      </c>
      <c r="CH30" s="55">
        <f t="shared" si="72"/>
        <v>0</v>
      </c>
      <c r="CI30" s="55">
        <f t="shared" si="72"/>
        <v>30000000</v>
      </c>
      <c r="CJ30" s="55">
        <f t="shared" si="72"/>
        <v>538150982.10768926</v>
      </c>
      <c r="CK30" s="55">
        <f t="shared" si="72"/>
        <v>1163878830.1460748</v>
      </c>
      <c r="CL30" s="55">
        <f t="shared" si="9"/>
        <v>6119531449.7397938</v>
      </c>
      <c r="CM30" s="55">
        <f t="shared" si="9"/>
        <v>255419389.57645831</v>
      </c>
      <c r="CN30" s="55">
        <f t="shared" si="9"/>
        <v>0</v>
      </c>
      <c r="CO30" s="55">
        <f t="shared" si="9"/>
        <v>1700000000</v>
      </c>
      <c r="CP30" s="55">
        <f t="shared" si="9"/>
        <v>3785043186.7677932</v>
      </c>
      <c r="CQ30" s="55">
        <f t="shared" si="9"/>
        <v>11859994026.084044</v>
      </c>
      <c r="CR30" s="37">
        <f t="shared" si="43"/>
        <v>420834048.63461781</v>
      </c>
      <c r="CS30" s="39">
        <f t="shared" si="44"/>
        <v>698605000</v>
      </c>
      <c r="CT30" s="53">
        <f t="shared" si="45"/>
        <v>811831121.66666663</v>
      </c>
      <c r="CU30" s="39">
        <f t="shared" si="46"/>
        <v>825057305.44513953</v>
      </c>
      <c r="CV30" s="39">
        <f t="shared" si="47"/>
        <v>1121190306.592685</v>
      </c>
      <c r="CW30" s="39">
        <f t="shared" si="48"/>
        <v>901883754.07731736</v>
      </c>
      <c r="CX30" s="39">
        <f t="shared" si="49"/>
        <v>1025907086.4886007</v>
      </c>
      <c r="CY30" s="39">
        <f t="shared" si="50"/>
        <v>1608084583.083446</v>
      </c>
      <c r="CZ30" s="39">
        <f t="shared" si="51"/>
        <v>954939083.09453237</v>
      </c>
      <c r="DA30" s="39">
        <f t="shared" si="52"/>
        <v>1243959910.9480829</v>
      </c>
      <c r="DB30" s="39">
        <f t="shared" si="53"/>
        <v>1083822995.9068828</v>
      </c>
      <c r="DC30" s="39">
        <f t="shared" si="54"/>
        <v>1163878830.1460748</v>
      </c>
      <c r="DD30" s="39">
        <f>+HLOOKUP('Reporte Evolución Mensual'!$F$2-2,$CR$2:$DC$251, Input!$DG30, FALSE)</f>
        <v>0</v>
      </c>
      <c r="DE30" s="39">
        <f>+HLOOKUP('Reporte Evolución Mensual'!$F$2-1,$CR$2:$DC$251, Input!$DG30, FALSE)</f>
        <v>0</v>
      </c>
      <c r="DF30" s="39">
        <f>+HLOOKUP('Reporte Evolución Mensual'!$F$2,$CR$2:$DC$371, Input!$DG30, FALSE)</f>
        <v>0</v>
      </c>
      <c r="DG30" s="40">
        <f t="shared" si="37"/>
        <v>30</v>
      </c>
      <c r="DH30" s="39"/>
      <c r="DI30" s="37">
        <f t="shared" si="55"/>
        <v>420834048.63461781</v>
      </c>
      <c r="DJ30" s="37">
        <f t="shared" si="56"/>
        <v>1119439048.6346178</v>
      </c>
      <c r="DK30" s="37">
        <f t="shared" si="56"/>
        <v>1931270170.3012843</v>
      </c>
      <c r="DL30" s="37">
        <f t="shared" si="56"/>
        <v>2756327475.7464237</v>
      </c>
      <c r="DM30" s="37">
        <f t="shared" si="56"/>
        <v>3877517782.3391085</v>
      </c>
      <c r="DN30" s="37">
        <f t="shared" si="56"/>
        <v>4779401536.4164257</v>
      </c>
      <c r="DO30" s="37">
        <f t="shared" si="56"/>
        <v>5805308622.9050264</v>
      </c>
      <c r="DP30" s="37">
        <f t="shared" si="56"/>
        <v>7413393205.988472</v>
      </c>
      <c r="DQ30" s="37">
        <f t="shared" si="56"/>
        <v>8368332289.083004</v>
      </c>
      <c r="DR30" s="37">
        <f t="shared" si="56"/>
        <v>9612292200.031086</v>
      </c>
      <c r="DS30" s="37">
        <f t="shared" si="56"/>
        <v>10696115195.937969</v>
      </c>
      <c r="DT30" s="37">
        <f t="shared" si="56"/>
        <v>11859994026.084044</v>
      </c>
      <c r="DU30" s="16"/>
      <c r="DV30" s="345"/>
    </row>
    <row r="31" spans="1:126" ht="15" customHeight="1" x14ac:dyDescent="0.3">
      <c r="A31" s="1" t="str">
        <f t="shared" si="0"/>
        <v>ADIFSE</v>
      </c>
      <c r="B31" s="1" t="str">
        <f t="shared" si="1"/>
        <v>ADIFSE</v>
      </c>
      <c r="C31" s="1" t="str">
        <f t="shared" si="2"/>
        <v>MAY</v>
      </c>
      <c r="D31" s="41" t="s">
        <v>108</v>
      </c>
      <c r="E31" s="54" t="s">
        <v>333</v>
      </c>
      <c r="F31" s="43"/>
      <c r="G31" s="1"/>
      <c r="H31" s="32"/>
      <c r="I31" s="32"/>
      <c r="J31" s="32"/>
      <c r="K31" s="45"/>
      <c r="L31" s="46"/>
      <c r="M31" s="46"/>
      <c r="N31" s="46"/>
      <c r="O31" s="46"/>
      <c r="P31" s="46"/>
      <c r="Q31" s="56"/>
      <c r="R31" s="46"/>
      <c r="S31" s="46"/>
      <c r="T31" s="46"/>
      <c r="U31" s="46"/>
      <c r="V31" s="46"/>
      <c r="W31" s="57"/>
      <c r="X31" s="46"/>
      <c r="Y31" s="46"/>
      <c r="Z31" s="46"/>
      <c r="AA31" s="46"/>
      <c r="AB31" s="46"/>
      <c r="AC31" s="57"/>
      <c r="AD31" s="46"/>
      <c r="AE31" s="46"/>
      <c r="AF31" s="46"/>
      <c r="AG31" s="46"/>
      <c r="AH31" s="46"/>
      <c r="AI31" s="57"/>
      <c r="AJ31" s="46"/>
      <c r="AK31" s="46"/>
      <c r="AL31" s="46"/>
      <c r="AM31" s="46"/>
      <c r="AN31" s="46"/>
      <c r="AO31" s="57"/>
      <c r="AP31" s="46"/>
      <c r="AQ31" s="46"/>
      <c r="AR31" s="46"/>
      <c r="AS31" s="46"/>
      <c r="AT31" s="46"/>
      <c r="AU31" s="57"/>
      <c r="AV31" s="46"/>
      <c r="AW31" s="46"/>
      <c r="AX31" s="46"/>
      <c r="AY31" s="46"/>
      <c r="AZ31" s="46"/>
      <c r="BA31" s="57"/>
      <c r="BB31" s="46"/>
      <c r="BC31" s="46"/>
      <c r="BD31" s="46"/>
      <c r="BE31" s="46"/>
      <c r="BF31" s="46"/>
      <c r="BG31" s="57"/>
      <c r="BH31" s="46"/>
      <c r="BI31" s="46"/>
      <c r="BJ31" s="46"/>
      <c r="BK31" s="46"/>
      <c r="BL31" s="46"/>
      <c r="BM31" s="57"/>
      <c r="BN31" s="46"/>
      <c r="BO31" s="46"/>
      <c r="BP31" s="46"/>
      <c r="BQ31" s="46"/>
      <c r="BR31" s="46"/>
      <c r="BS31" s="57"/>
      <c r="BT31" s="46"/>
      <c r="BU31" s="46"/>
      <c r="BV31" s="46"/>
      <c r="BW31" s="46"/>
      <c r="BX31" s="46"/>
      <c r="BY31" s="57"/>
      <c r="BZ31" s="46"/>
      <c r="CA31" s="46"/>
      <c r="CB31" s="46"/>
      <c r="CC31" s="46"/>
      <c r="CD31" s="46"/>
      <c r="CE31" s="48"/>
      <c r="CF31" s="46"/>
      <c r="CG31" s="46"/>
      <c r="CH31" s="46"/>
      <c r="CI31" s="46"/>
      <c r="CJ31" s="46"/>
      <c r="CK31" s="48"/>
      <c r="CL31" s="47"/>
      <c r="CM31" s="47"/>
      <c r="CN31" s="47"/>
      <c r="CO31" s="47"/>
      <c r="CP31" s="47"/>
      <c r="CQ31" s="47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8"/>
      <c r="DD31" s="39">
        <f>+HLOOKUP('Reporte Evolución Mensual'!$F$2-2,$CR$2:$DC$251, Input!$DG31, FALSE)</f>
        <v>0</v>
      </c>
      <c r="DE31" s="39">
        <f>+HLOOKUP('Reporte Evolución Mensual'!$F$2-1,$CR$2:$DC$251, Input!$DG31, FALSE)</f>
        <v>0</v>
      </c>
      <c r="DF31" s="39">
        <f>+HLOOKUP('Reporte Evolución Mensual'!$F$2,$CR$2:$DC$371, Input!$DG31, FALSE)</f>
        <v>0</v>
      </c>
      <c r="DG31" s="40">
        <f t="shared" si="37"/>
        <v>31</v>
      </c>
      <c r="DH31" s="39"/>
      <c r="DI31" s="39"/>
      <c r="DJ31" s="39"/>
      <c r="DK31" s="39"/>
      <c r="DL31" s="39"/>
      <c r="DM31" s="39"/>
      <c r="DN31" s="39"/>
      <c r="DO31" s="58"/>
      <c r="DP31" s="58"/>
      <c r="DQ31" s="58"/>
      <c r="DR31" s="58"/>
      <c r="DS31" s="41"/>
      <c r="DT31" s="41"/>
      <c r="DU31" s="16"/>
      <c r="DV31" s="345"/>
    </row>
    <row r="32" spans="1:126" ht="15" customHeight="1" x14ac:dyDescent="0.3">
      <c r="A32" s="1" t="str">
        <f t="shared" si="0"/>
        <v>ADIFSE</v>
      </c>
      <c r="B32" s="1" t="str">
        <f t="shared" si="1"/>
        <v>ADIFSE</v>
      </c>
      <c r="C32" s="1" t="str">
        <f t="shared" si="2"/>
        <v>MAY</v>
      </c>
      <c r="D32" s="41" t="s">
        <v>108</v>
      </c>
      <c r="E32" s="42" t="s">
        <v>189</v>
      </c>
      <c r="F32" s="43"/>
      <c r="G32" s="1"/>
      <c r="H32" s="32"/>
      <c r="I32" s="32"/>
      <c r="J32" s="32"/>
      <c r="K32" s="45"/>
      <c r="L32" s="46"/>
      <c r="M32" s="46"/>
      <c r="N32" s="46"/>
      <c r="O32" s="46"/>
      <c r="P32" s="46"/>
      <c r="Q32" s="56"/>
      <c r="R32" s="46"/>
      <c r="S32" s="46"/>
      <c r="T32" s="46"/>
      <c r="U32" s="46"/>
      <c r="V32" s="46"/>
      <c r="W32" s="57"/>
      <c r="X32" s="46"/>
      <c r="Y32" s="46"/>
      <c r="Z32" s="46"/>
      <c r="AA32" s="46"/>
      <c r="AB32" s="46"/>
      <c r="AC32" s="57"/>
      <c r="AD32" s="46"/>
      <c r="AE32" s="46"/>
      <c r="AF32" s="46"/>
      <c r="AG32" s="46"/>
      <c r="AH32" s="46"/>
      <c r="AI32" s="57"/>
      <c r="AJ32" s="46"/>
      <c r="AK32" s="46"/>
      <c r="AL32" s="46"/>
      <c r="AM32" s="46"/>
      <c r="AN32" s="46"/>
      <c r="AO32" s="57"/>
      <c r="AP32" s="46"/>
      <c r="AQ32" s="46"/>
      <c r="AR32" s="46"/>
      <c r="AS32" s="46"/>
      <c r="AT32" s="46"/>
      <c r="AU32" s="57"/>
      <c r="AV32" s="46"/>
      <c r="AW32" s="46"/>
      <c r="AX32" s="46"/>
      <c r="AY32" s="46"/>
      <c r="AZ32" s="46"/>
      <c r="BA32" s="57"/>
      <c r="BB32" s="46"/>
      <c r="BC32" s="46"/>
      <c r="BD32" s="46"/>
      <c r="BE32" s="46"/>
      <c r="BF32" s="46"/>
      <c r="BG32" s="57"/>
      <c r="BH32" s="46"/>
      <c r="BI32" s="46"/>
      <c r="BJ32" s="46"/>
      <c r="BK32" s="46"/>
      <c r="BL32" s="46"/>
      <c r="BM32" s="57"/>
      <c r="BN32" s="46"/>
      <c r="BO32" s="46"/>
      <c r="BP32" s="46"/>
      <c r="BQ32" s="46"/>
      <c r="BR32" s="46"/>
      <c r="BS32" s="57"/>
      <c r="BT32" s="46"/>
      <c r="BU32" s="46"/>
      <c r="BV32" s="46"/>
      <c r="BW32" s="46"/>
      <c r="BX32" s="46"/>
      <c r="BY32" s="57"/>
      <c r="BZ32" s="46"/>
      <c r="CA32" s="46"/>
      <c r="CB32" s="46"/>
      <c r="CC32" s="46"/>
      <c r="CD32" s="46"/>
      <c r="CE32" s="48"/>
      <c r="CF32" s="46"/>
      <c r="CG32" s="46"/>
      <c r="CH32" s="46"/>
      <c r="CI32" s="46"/>
      <c r="CJ32" s="46"/>
      <c r="CK32" s="48"/>
      <c r="CL32" s="47"/>
      <c r="CM32" s="47"/>
      <c r="CN32" s="47"/>
      <c r="CO32" s="47"/>
      <c r="CP32" s="47"/>
      <c r="CQ32" s="47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8"/>
      <c r="DD32" s="39">
        <f>+HLOOKUP('Reporte Evolución Mensual'!$F$2-2,$CR$2:$DC$251, Input!$DG32, FALSE)</f>
        <v>76892406.914183572</v>
      </c>
      <c r="DE32" s="39">
        <f>+HLOOKUP('Reporte Evolución Mensual'!$F$2-1,$CR$2:$DC$251, Input!$DG32, FALSE)</f>
        <v>65557777</v>
      </c>
      <c r="DF32" s="39">
        <f>+HLOOKUP('Reporte Evolución Mensual'!$F$2,$CR$2:$DC$371, Input!$DG32, FALSE)</f>
        <v>43770668.687489286</v>
      </c>
      <c r="DG32" s="40">
        <f t="shared" si="37"/>
        <v>32</v>
      </c>
      <c r="DH32" s="39"/>
      <c r="DI32" s="39"/>
      <c r="DJ32" s="39"/>
      <c r="DK32" s="39"/>
      <c r="DL32" s="39"/>
      <c r="DM32" s="39"/>
      <c r="DN32" s="39"/>
      <c r="DO32" s="58"/>
      <c r="DP32" s="58"/>
      <c r="DQ32" s="58"/>
      <c r="DR32" s="58"/>
      <c r="DS32" s="41"/>
      <c r="DT32" s="41"/>
      <c r="DU32" s="16"/>
      <c r="DV32" s="345"/>
    </row>
    <row r="33" spans="1:126" ht="15" customHeight="1" x14ac:dyDescent="0.3">
      <c r="A33" s="1" t="str">
        <f t="shared" si="0"/>
        <v>ADIFSE</v>
      </c>
      <c r="B33" s="1" t="str">
        <f t="shared" si="1"/>
        <v>ADIFSE</v>
      </c>
      <c r="C33" s="1" t="str">
        <f t="shared" si="2"/>
        <v>MAY</v>
      </c>
      <c r="D33" s="1" t="s">
        <v>163</v>
      </c>
      <c r="E33" s="30" t="str">
        <f>H33</f>
        <v>Personal</v>
      </c>
      <c r="F33" s="31">
        <v>1</v>
      </c>
      <c r="G33" s="1" t="s">
        <v>189</v>
      </c>
      <c r="H33" s="32" t="s">
        <v>191</v>
      </c>
      <c r="I33" s="32" t="s">
        <v>191</v>
      </c>
      <c r="J33" s="32" t="s">
        <v>166</v>
      </c>
      <c r="K33" s="51">
        <v>462683547.14000005</v>
      </c>
      <c r="L33" s="51">
        <f>-M33+554400000</f>
        <v>434400000</v>
      </c>
      <c r="M33" s="51">
        <v>120000000</v>
      </c>
      <c r="N33" s="51"/>
      <c r="O33" s="51"/>
      <c r="P33" s="428"/>
      <c r="Q33" s="35">
        <f t="shared" si="13"/>
        <v>554400000</v>
      </c>
      <c r="R33" s="51">
        <v>54554354.899999999</v>
      </c>
      <c r="S33" s="51"/>
      <c r="T33" s="51"/>
      <c r="U33" s="51"/>
      <c r="V33" s="51"/>
      <c r="W33" s="52">
        <f t="shared" si="14"/>
        <v>54554354.899999999</v>
      </c>
      <c r="X33" s="51">
        <f>58922064.5673584-AA33</f>
        <v>57372064.567358397</v>
      </c>
      <c r="Y33" s="51"/>
      <c r="Z33" s="51"/>
      <c r="AA33" s="51">
        <f>15000000-13450000</f>
        <v>1550000</v>
      </c>
      <c r="AB33" s="51"/>
      <c r="AC33" s="52">
        <f t="shared" si="15"/>
        <v>58922064.567358397</v>
      </c>
      <c r="AD33" s="51">
        <v>76892406.914183572</v>
      </c>
      <c r="AE33" s="51"/>
      <c r="AF33" s="51"/>
      <c r="AG33" s="51"/>
      <c r="AH33" s="51"/>
      <c r="AI33" s="52">
        <f t="shared" si="16"/>
        <v>76892406.914183572</v>
      </c>
      <c r="AJ33" s="51">
        <f>+[4]Hoja1!$B$4</f>
        <v>65557777</v>
      </c>
      <c r="AK33" s="51"/>
      <c r="AL33" s="51"/>
      <c r="AM33" s="51"/>
      <c r="AN33" s="51"/>
      <c r="AO33" s="52">
        <f t="shared" si="17"/>
        <v>65557777</v>
      </c>
      <c r="AP33" s="51">
        <v>43770668.687489286</v>
      </c>
      <c r="AQ33" s="51"/>
      <c r="AR33" s="51"/>
      <c r="AS33" s="51"/>
      <c r="AT33" s="51"/>
      <c r="AU33" s="52">
        <f t="shared" si="18"/>
        <v>43770668.687489286</v>
      </c>
      <c r="AV33" s="51">
        <v>41933548.03534171</v>
      </c>
      <c r="AW33" s="51"/>
      <c r="AX33" s="51"/>
      <c r="AY33" s="51"/>
      <c r="AZ33" s="51"/>
      <c r="BA33" s="52">
        <f t="shared" si="19"/>
        <v>41933548.03534171</v>
      </c>
      <c r="BB33" s="51">
        <v>40531458.918260142</v>
      </c>
      <c r="BC33" s="51"/>
      <c r="BD33" s="51"/>
      <c r="BE33" s="51"/>
      <c r="BF33" s="51"/>
      <c r="BG33" s="52">
        <f t="shared" si="20"/>
        <v>40531458.918260142</v>
      </c>
      <c r="BH33" s="51">
        <v>40511174.093503267</v>
      </c>
      <c r="BI33" s="51"/>
      <c r="BJ33" s="51"/>
      <c r="BK33" s="51"/>
      <c r="BL33" s="51"/>
      <c r="BM33" s="52">
        <f t="shared" si="21"/>
        <v>40511174.093503267</v>
      </c>
      <c r="BN33" s="51">
        <f>40215872.8834097-BQ33</f>
        <v>25215872.883409701</v>
      </c>
      <c r="BO33" s="51"/>
      <c r="BP33" s="51"/>
      <c r="BQ33" s="51">
        <v>15000000</v>
      </c>
      <c r="BR33" s="51"/>
      <c r="BS33" s="52">
        <f t="shared" si="22"/>
        <v>40215872.883409701</v>
      </c>
      <c r="BT33" s="51">
        <f>40631397.0935033-BW33</f>
        <v>25631397.093503296</v>
      </c>
      <c r="BU33" s="51"/>
      <c r="BV33" s="51"/>
      <c r="BW33" s="51">
        <v>15000000</v>
      </c>
      <c r="BX33" s="51"/>
      <c r="BY33" s="52">
        <f t="shared" si="23"/>
        <v>40631397.093503296</v>
      </c>
      <c r="BZ33" s="51">
        <f>40660936.0935033-CC33</f>
        <v>25660936.093503296</v>
      </c>
      <c r="CA33" s="51"/>
      <c r="CB33" s="51"/>
      <c r="CC33" s="51">
        <v>15000000</v>
      </c>
      <c r="CD33" s="51"/>
      <c r="CE33" s="52">
        <f t="shared" si="24"/>
        <v>40660936.093503296</v>
      </c>
      <c r="CF33" s="51">
        <f>45261988.9769159-CI33</f>
        <v>30261988.976915903</v>
      </c>
      <c r="CG33" s="51"/>
      <c r="CH33" s="51"/>
      <c r="CI33" s="51">
        <v>15000000</v>
      </c>
      <c r="CJ33" s="51"/>
      <c r="CK33" s="52">
        <f t="shared" si="25"/>
        <v>45261988.976915903</v>
      </c>
      <c r="CL33" s="35">
        <f t="shared" si="9"/>
        <v>527893648.1634686</v>
      </c>
      <c r="CM33" s="35">
        <f t="shared" si="9"/>
        <v>0</v>
      </c>
      <c r="CN33" s="35">
        <f t="shared" si="9"/>
        <v>0</v>
      </c>
      <c r="CO33" s="35">
        <f t="shared" si="9"/>
        <v>61550000</v>
      </c>
      <c r="CP33" s="35">
        <f t="shared" si="9"/>
        <v>0</v>
      </c>
      <c r="CQ33" s="35">
        <f t="shared" si="9"/>
        <v>589443648.16346872</v>
      </c>
      <c r="CR33" s="37">
        <f t="shared" ref="CR33:CR34" si="73">+W33</f>
        <v>54554354.899999999</v>
      </c>
      <c r="CS33" s="39">
        <f t="shared" ref="CS33:CS34" si="74">+AC33</f>
        <v>58922064.567358397</v>
      </c>
      <c r="CT33" s="53">
        <f t="shared" ref="CT33:CT34" si="75">+AI33</f>
        <v>76892406.914183572</v>
      </c>
      <c r="CU33" s="39">
        <f t="shared" ref="CU33:CU34" si="76">+AO33</f>
        <v>65557777</v>
      </c>
      <c r="CV33" s="39">
        <f t="shared" ref="CV33:CV34" si="77">+AU33</f>
        <v>43770668.687489286</v>
      </c>
      <c r="CW33" s="39">
        <f t="shared" ref="CW33:CW34" si="78">+BA33</f>
        <v>41933548.03534171</v>
      </c>
      <c r="CX33" s="39">
        <f t="shared" ref="CX33:CX34" si="79">+BG33</f>
        <v>40531458.918260142</v>
      </c>
      <c r="CY33" s="39">
        <f t="shared" ref="CY33:CY34" si="80">+BM33</f>
        <v>40511174.093503267</v>
      </c>
      <c r="CZ33" s="39">
        <f t="shared" ref="CZ33:CZ34" si="81">+BS33</f>
        <v>40215872.883409701</v>
      </c>
      <c r="DA33" s="39">
        <f t="shared" ref="DA33:DA34" si="82">+BY33</f>
        <v>40631397.093503296</v>
      </c>
      <c r="DB33" s="39">
        <f t="shared" ref="DB33:DB34" si="83">+CE33</f>
        <v>40660936.093503296</v>
      </c>
      <c r="DC33" s="39">
        <f t="shared" ref="DC33:DC34" si="84">+CK33</f>
        <v>45261988.976915903</v>
      </c>
      <c r="DD33" s="39">
        <f>+HLOOKUP('Reporte Evolución Mensual'!$F$2-2,$CR$2:$DC$251, Input!$DG33, FALSE)</f>
        <v>200000</v>
      </c>
      <c r="DE33" s="39">
        <f>+HLOOKUP('Reporte Evolución Mensual'!$F$2-1,$CR$2:$DC$251, Input!$DG33, FALSE)</f>
        <v>200000</v>
      </c>
      <c r="DF33" s="39">
        <f>+HLOOKUP('Reporte Evolución Mensual'!$F$2,$CR$2:$DC$371, Input!$DG33, FALSE)</f>
        <v>2294614.0590476179</v>
      </c>
      <c r="DG33" s="40">
        <f t="shared" si="37"/>
        <v>33</v>
      </c>
      <c r="DH33" s="39"/>
      <c r="DI33" s="37">
        <f t="shared" ref="DI33:DI34" si="85">+CR33</f>
        <v>54554354.899999999</v>
      </c>
      <c r="DJ33" s="37">
        <f t="shared" ref="DJ33:DT34" si="86">+DI33+CS33</f>
        <v>113476419.4673584</v>
      </c>
      <c r="DK33" s="37">
        <f t="shared" si="86"/>
        <v>190368826.38154197</v>
      </c>
      <c r="DL33" s="37">
        <f t="shared" si="86"/>
        <v>255926603.38154197</v>
      </c>
      <c r="DM33" s="37">
        <f t="shared" si="86"/>
        <v>299697272.06903124</v>
      </c>
      <c r="DN33" s="37">
        <f t="shared" si="86"/>
        <v>341630820.10437298</v>
      </c>
      <c r="DO33" s="37">
        <f t="shared" si="86"/>
        <v>382162279.02263314</v>
      </c>
      <c r="DP33" s="37">
        <f t="shared" si="86"/>
        <v>422673453.11613643</v>
      </c>
      <c r="DQ33" s="37">
        <f t="shared" si="86"/>
        <v>462889325.99954611</v>
      </c>
      <c r="DR33" s="37">
        <f t="shared" si="86"/>
        <v>503520723.09304941</v>
      </c>
      <c r="DS33" s="37">
        <f t="shared" si="86"/>
        <v>544181659.18655276</v>
      </c>
      <c r="DT33" s="37">
        <f t="shared" si="86"/>
        <v>589443648.16346872</v>
      </c>
      <c r="DU33" s="16"/>
      <c r="DV33" s="345" t="s">
        <v>163</v>
      </c>
    </row>
    <row r="34" spans="1:126" ht="15" customHeight="1" x14ac:dyDescent="0.3">
      <c r="A34" s="1" t="str">
        <f t="shared" si="0"/>
        <v>ADIFSE</v>
      </c>
      <c r="B34" s="1" t="str">
        <f t="shared" si="1"/>
        <v>ADIFSE</v>
      </c>
      <c r="C34" s="1" t="str">
        <f t="shared" si="2"/>
        <v>MAY</v>
      </c>
      <c r="D34" s="1" t="s">
        <v>163</v>
      </c>
      <c r="E34" s="30" t="str">
        <f>H34</f>
        <v>Bienes de Consumo</v>
      </c>
      <c r="F34" s="31">
        <v>2</v>
      </c>
      <c r="G34" s="1" t="s">
        <v>189</v>
      </c>
      <c r="H34" s="32" t="s">
        <v>192</v>
      </c>
      <c r="I34" s="32" t="s">
        <v>192</v>
      </c>
      <c r="J34" s="32" t="s">
        <v>166</v>
      </c>
      <c r="K34" s="51">
        <v>1218713.57</v>
      </c>
      <c r="L34" s="51">
        <v>2500000</v>
      </c>
      <c r="M34" s="51"/>
      <c r="N34" s="51"/>
      <c r="O34" s="51"/>
      <c r="P34" s="51"/>
      <c r="Q34" s="35">
        <f t="shared" si="13"/>
        <v>2500000</v>
      </c>
      <c r="R34" s="51">
        <v>142056.56</v>
      </c>
      <c r="S34" s="51"/>
      <c r="T34" s="51"/>
      <c r="U34" s="51"/>
      <c r="V34" s="51"/>
      <c r="W34" s="52">
        <f t="shared" si="14"/>
        <v>142056.56</v>
      </c>
      <c r="X34" s="51">
        <v>200000</v>
      </c>
      <c r="Y34" s="51"/>
      <c r="Z34" s="51"/>
      <c r="AA34" s="51"/>
      <c r="AB34" s="51"/>
      <c r="AC34" s="52">
        <f t="shared" si="15"/>
        <v>200000</v>
      </c>
      <c r="AD34" s="51">
        <f>+X34</f>
        <v>200000</v>
      </c>
      <c r="AE34" s="51"/>
      <c r="AF34" s="51"/>
      <c r="AG34" s="51"/>
      <c r="AH34" s="51"/>
      <c r="AI34" s="52">
        <f t="shared" si="16"/>
        <v>200000</v>
      </c>
      <c r="AJ34" s="51">
        <v>200000</v>
      </c>
      <c r="AK34" s="51"/>
      <c r="AL34" s="51"/>
      <c r="AM34" s="51"/>
      <c r="AN34" s="51"/>
      <c r="AO34" s="52">
        <f t="shared" si="17"/>
        <v>200000</v>
      </c>
      <c r="AP34" s="51">
        <v>2294614.0590476179</v>
      </c>
      <c r="AQ34" s="51"/>
      <c r="AR34" s="51"/>
      <c r="AS34" s="51"/>
      <c r="AT34" s="51"/>
      <c r="AU34" s="52">
        <f t="shared" si="18"/>
        <v>2294614.0590476179</v>
      </c>
      <c r="AV34" s="51">
        <v>1199614.0590476182</v>
      </c>
      <c r="AW34" s="51"/>
      <c r="AX34" s="51"/>
      <c r="AY34" s="51"/>
      <c r="AZ34" s="51"/>
      <c r="BA34" s="52">
        <f t="shared" si="19"/>
        <v>1199614.0590476182</v>
      </c>
      <c r="BB34" s="51">
        <v>1095614.0590476193</v>
      </c>
      <c r="BC34" s="51"/>
      <c r="BD34" s="51"/>
      <c r="BE34" s="51"/>
      <c r="BF34" s="51"/>
      <c r="BG34" s="52">
        <f t="shared" si="20"/>
        <v>1095614.0590476193</v>
      </c>
      <c r="BH34" s="51">
        <v>2451280.7257142849</v>
      </c>
      <c r="BI34" s="51"/>
      <c r="BJ34" s="51"/>
      <c r="BK34" s="51"/>
      <c r="BL34" s="51"/>
      <c r="BM34" s="52">
        <f t="shared" si="21"/>
        <v>2451280.7257142849</v>
      </c>
      <c r="BN34" s="51">
        <v>457280.72571428557</v>
      </c>
      <c r="BO34" s="51"/>
      <c r="BP34" s="51"/>
      <c r="BQ34" s="51"/>
      <c r="BR34" s="51"/>
      <c r="BS34" s="52">
        <f t="shared" si="22"/>
        <v>457280.72571428557</v>
      </c>
      <c r="BT34" s="51">
        <v>451280.72571428557</v>
      </c>
      <c r="BU34" s="51"/>
      <c r="BV34" s="51"/>
      <c r="BW34" s="51"/>
      <c r="BX34" s="51"/>
      <c r="BY34" s="52">
        <f t="shared" si="23"/>
        <v>451280.72571428557</v>
      </c>
      <c r="BZ34" s="51">
        <v>457280.72571428557</v>
      </c>
      <c r="CA34" s="51"/>
      <c r="CB34" s="51"/>
      <c r="CC34" s="51"/>
      <c r="CD34" s="51"/>
      <c r="CE34" s="52">
        <f t="shared" si="24"/>
        <v>457280.72571428557</v>
      </c>
      <c r="CF34" s="51">
        <v>451280.72571428557</v>
      </c>
      <c r="CG34" s="51"/>
      <c r="CH34" s="51"/>
      <c r="CI34" s="51"/>
      <c r="CJ34" s="51"/>
      <c r="CK34" s="52">
        <f t="shared" si="25"/>
        <v>451280.72571428557</v>
      </c>
      <c r="CL34" s="35">
        <f t="shared" si="9"/>
        <v>9600302.3657142818</v>
      </c>
      <c r="CM34" s="35">
        <f t="shared" si="9"/>
        <v>0</v>
      </c>
      <c r="CN34" s="35">
        <f t="shared" si="9"/>
        <v>0</v>
      </c>
      <c r="CO34" s="35">
        <f t="shared" si="9"/>
        <v>0</v>
      </c>
      <c r="CP34" s="35">
        <f t="shared" si="9"/>
        <v>0</v>
      </c>
      <c r="CQ34" s="35">
        <f t="shared" si="9"/>
        <v>9600302.3657142818</v>
      </c>
      <c r="CR34" s="37">
        <f t="shared" si="73"/>
        <v>142056.56</v>
      </c>
      <c r="CS34" s="39">
        <f t="shared" si="74"/>
        <v>200000</v>
      </c>
      <c r="CT34" s="53">
        <f t="shared" si="75"/>
        <v>200000</v>
      </c>
      <c r="CU34" s="39">
        <f t="shared" si="76"/>
        <v>200000</v>
      </c>
      <c r="CV34" s="39">
        <f t="shared" si="77"/>
        <v>2294614.0590476179</v>
      </c>
      <c r="CW34" s="39">
        <f t="shared" si="78"/>
        <v>1199614.0590476182</v>
      </c>
      <c r="CX34" s="39">
        <f t="shared" si="79"/>
        <v>1095614.0590476193</v>
      </c>
      <c r="CY34" s="39">
        <f t="shared" si="80"/>
        <v>2451280.7257142849</v>
      </c>
      <c r="CZ34" s="39">
        <f t="shared" si="81"/>
        <v>457280.72571428557</v>
      </c>
      <c r="DA34" s="39">
        <f t="shared" si="82"/>
        <v>451280.72571428557</v>
      </c>
      <c r="DB34" s="39">
        <f t="shared" si="83"/>
        <v>457280.72571428557</v>
      </c>
      <c r="DC34" s="39">
        <f t="shared" si="84"/>
        <v>451280.72571428557</v>
      </c>
      <c r="DD34" s="39">
        <f>+HLOOKUP('Reporte Evolución Mensual'!$F$2-2,$CR$2:$DC$251, Input!$DG34, FALSE)</f>
        <v>0</v>
      </c>
      <c r="DE34" s="39">
        <f>+HLOOKUP('Reporte Evolución Mensual'!$F$2-1,$CR$2:$DC$251, Input!$DG34, FALSE)</f>
        <v>0</v>
      </c>
      <c r="DF34" s="39">
        <f>+HLOOKUP('Reporte Evolución Mensual'!$F$2,$CR$2:$DC$371, Input!$DG34, FALSE)</f>
        <v>0</v>
      </c>
      <c r="DG34" s="40">
        <f t="shared" si="37"/>
        <v>34</v>
      </c>
      <c r="DH34" s="39"/>
      <c r="DI34" s="37">
        <f t="shared" si="85"/>
        <v>142056.56</v>
      </c>
      <c r="DJ34" s="37">
        <f t="shared" si="86"/>
        <v>342056.56</v>
      </c>
      <c r="DK34" s="37">
        <f t="shared" si="86"/>
        <v>542056.56000000006</v>
      </c>
      <c r="DL34" s="37">
        <f t="shared" si="86"/>
        <v>742056.56</v>
      </c>
      <c r="DM34" s="37">
        <f t="shared" si="86"/>
        <v>3036670.619047618</v>
      </c>
      <c r="DN34" s="37">
        <f t="shared" si="86"/>
        <v>4236284.6780952364</v>
      </c>
      <c r="DO34" s="37">
        <f t="shared" si="86"/>
        <v>5331898.7371428553</v>
      </c>
      <c r="DP34" s="37">
        <f t="shared" si="86"/>
        <v>7783179.4628571402</v>
      </c>
      <c r="DQ34" s="37">
        <f t="shared" si="86"/>
        <v>8240460.1885714261</v>
      </c>
      <c r="DR34" s="37">
        <f t="shared" si="86"/>
        <v>8691740.9142857119</v>
      </c>
      <c r="DS34" s="37">
        <f t="shared" si="86"/>
        <v>9149021.6399999969</v>
      </c>
      <c r="DT34" s="37">
        <f t="shared" si="86"/>
        <v>9600302.3657142818</v>
      </c>
      <c r="DU34" s="16"/>
      <c r="DV34" s="345" t="s">
        <v>163</v>
      </c>
    </row>
    <row r="35" spans="1:126" ht="15" customHeight="1" x14ac:dyDescent="0.3">
      <c r="A35" s="1" t="str">
        <f t="shared" si="0"/>
        <v>ADIFSE</v>
      </c>
      <c r="B35" s="1" t="str">
        <f t="shared" si="1"/>
        <v>ADIFSE</v>
      </c>
      <c r="C35" s="1" t="str">
        <f t="shared" si="2"/>
        <v>MAY</v>
      </c>
      <c r="D35" s="16" t="s">
        <v>108</v>
      </c>
      <c r="E35" s="61" t="s">
        <v>333</v>
      </c>
      <c r="F35" s="62"/>
      <c r="G35" s="16"/>
      <c r="H35" s="7"/>
      <c r="I35" s="7"/>
      <c r="J35" s="7"/>
      <c r="K35" s="38"/>
      <c r="L35" s="38"/>
      <c r="M35" s="38"/>
      <c r="N35" s="38"/>
      <c r="O35" s="38"/>
      <c r="P35" s="38"/>
      <c r="Q35" s="35"/>
      <c r="R35" s="38"/>
      <c r="S35" s="38"/>
      <c r="T35" s="38"/>
      <c r="U35" s="38"/>
      <c r="V35" s="38"/>
      <c r="W35" s="36"/>
      <c r="X35" s="38"/>
      <c r="Y35" s="38"/>
      <c r="Z35" s="38"/>
      <c r="AA35" s="38"/>
      <c r="AB35" s="38"/>
      <c r="AC35" s="36"/>
      <c r="AD35" s="38"/>
      <c r="AE35" s="38"/>
      <c r="AF35" s="38"/>
      <c r="AG35" s="38"/>
      <c r="AH35" s="38"/>
      <c r="AI35" s="36"/>
      <c r="AJ35" s="38"/>
      <c r="AK35" s="38"/>
      <c r="AL35" s="38"/>
      <c r="AM35" s="38"/>
      <c r="AN35" s="38"/>
      <c r="AO35" s="36"/>
      <c r="AP35" s="38"/>
      <c r="AQ35" s="38"/>
      <c r="AR35" s="38"/>
      <c r="AS35" s="38"/>
      <c r="AT35" s="38"/>
      <c r="AU35" s="36"/>
      <c r="AV35" s="38"/>
      <c r="AW35" s="38"/>
      <c r="AX35" s="38"/>
      <c r="AY35" s="38"/>
      <c r="AZ35" s="38"/>
      <c r="BA35" s="36"/>
      <c r="BB35" s="38"/>
      <c r="BC35" s="38"/>
      <c r="BD35" s="38"/>
      <c r="BE35" s="38"/>
      <c r="BF35" s="38"/>
      <c r="BG35" s="36"/>
      <c r="BH35" s="38"/>
      <c r="BI35" s="38"/>
      <c r="BJ35" s="38"/>
      <c r="BK35" s="38"/>
      <c r="BL35" s="38"/>
      <c r="BM35" s="36"/>
      <c r="BN35" s="38"/>
      <c r="BO35" s="38"/>
      <c r="BP35" s="38"/>
      <c r="BQ35" s="38"/>
      <c r="BR35" s="38"/>
      <c r="BS35" s="36"/>
      <c r="BT35" s="38"/>
      <c r="BU35" s="38"/>
      <c r="BV35" s="38"/>
      <c r="BW35" s="38"/>
      <c r="BX35" s="38"/>
      <c r="BY35" s="36"/>
      <c r="BZ35" s="38"/>
      <c r="CA35" s="38"/>
      <c r="CB35" s="38"/>
      <c r="CC35" s="38"/>
      <c r="CD35" s="38"/>
      <c r="CE35" s="36"/>
      <c r="CF35" s="38"/>
      <c r="CG35" s="38"/>
      <c r="CH35" s="38"/>
      <c r="CI35" s="38"/>
      <c r="CJ35" s="38"/>
      <c r="CK35" s="36"/>
      <c r="CL35" s="35"/>
      <c r="CM35" s="35"/>
      <c r="CN35" s="35"/>
      <c r="CO35" s="35"/>
      <c r="CP35" s="35"/>
      <c r="CQ35" s="35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9">
        <f>+HLOOKUP('Reporte Evolución Mensual'!$F$2-2,$CR$2:$DC$251, Input!$DG35, FALSE)</f>
        <v>0</v>
      </c>
      <c r="DE35" s="39">
        <f>+HLOOKUP('Reporte Evolución Mensual'!$F$2-1,$CR$2:$DC$251, Input!$DG35, FALSE)</f>
        <v>0</v>
      </c>
      <c r="DF35" s="39">
        <f>+HLOOKUP('Reporte Evolución Mensual'!$F$2,$CR$2:$DC$371, Input!$DG35, FALSE)</f>
        <v>0</v>
      </c>
      <c r="DG35" s="40">
        <f t="shared" si="37"/>
        <v>35</v>
      </c>
      <c r="DH35" s="37"/>
      <c r="DI35" s="37"/>
      <c r="DJ35" s="37"/>
      <c r="DK35" s="37"/>
      <c r="DL35" s="37"/>
      <c r="DM35" s="37"/>
      <c r="DN35" s="37"/>
      <c r="DO35" s="63"/>
      <c r="DP35" s="63"/>
      <c r="DQ35" s="63"/>
      <c r="DR35" s="63"/>
      <c r="DS35" s="16"/>
      <c r="DT35" s="16"/>
      <c r="DU35" s="16"/>
      <c r="DV35" s="345"/>
    </row>
    <row r="36" spans="1:126" ht="15" customHeight="1" x14ac:dyDescent="0.3">
      <c r="A36" s="1" t="str">
        <f t="shared" si="0"/>
        <v>ADIFSE</v>
      </c>
      <c r="B36" s="1" t="str">
        <f t="shared" si="1"/>
        <v>ADIFSE</v>
      </c>
      <c r="C36" s="1" t="str">
        <f t="shared" si="2"/>
        <v>MAY</v>
      </c>
      <c r="D36" s="16" t="s">
        <v>108</v>
      </c>
      <c r="E36" s="64" t="s">
        <v>193</v>
      </c>
      <c r="F36" s="62"/>
      <c r="G36" s="16"/>
      <c r="H36" s="7"/>
      <c r="I36" s="7"/>
      <c r="J36" s="7"/>
      <c r="K36" s="38"/>
      <c r="L36" s="38"/>
      <c r="M36" s="38"/>
      <c r="N36" s="38"/>
      <c r="O36" s="38"/>
      <c r="P36" s="38"/>
      <c r="Q36" s="35"/>
      <c r="R36" s="38"/>
      <c r="S36" s="38"/>
      <c r="T36" s="38"/>
      <c r="U36" s="38"/>
      <c r="V36" s="38"/>
      <c r="W36" s="36"/>
      <c r="X36" s="38"/>
      <c r="Y36" s="38"/>
      <c r="Z36" s="38"/>
      <c r="AA36" s="38"/>
      <c r="AB36" s="38"/>
      <c r="AC36" s="36"/>
      <c r="AD36" s="38"/>
      <c r="AE36" s="38"/>
      <c r="AF36" s="38"/>
      <c r="AG36" s="38"/>
      <c r="AH36" s="38"/>
      <c r="AI36" s="36"/>
      <c r="AJ36" s="38"/>
      <c r="AK36" s="38"/>
      <c r="AL36" s="38"/>
      <c r="AM36" s="38"/>
      <c r="AN36" s="38"/>
      <c r="AO36" s="36"/>
      <c r="AP36" s="38"/>
      <c r="AQ36" s="38"/>
      <c r="AR36" s="38"/>
      <c r="AS36" s="38"/>
      <c r="AT36" s="38"/>
      <c r="AU36" s="36"/>
      <c r="AV36" s="38"/>
      <c r="AW36" s="38"/>
      <c r="AX36" s="38"/>
      <c r="AY36" s="38"/>
      <c r="AZ36" s="38"/>
      <c r="BA36" s="36"/>
      <c r="BB36" s="38"/>
      <c r="BC36" s="38"/>
      <c r="BD36" s="38"/>
      <c r="BE36" s="38"/>
      <c r="BF36" s="38"/>
      <c r="BG36" s="36"/>
      <c r="BH36" s="38"/>
      <c r="BI36" s="38"/>
      <c r="BJ36" s="38"/>
      <c r="BK36" s="38"/>
      <c r="BL36" s="38"/>
      <c r="BM36" s="36"/>
      <c r="BN36" s="38"/>
      <c r="BO36" s="38"/>
      <c r="BP36" s="38"/>
      <c r="BQ36" s="38"/>
      <c r="BR36" s="38"/>
      <c r="BS36" s="36"/>
      <c r="BT36" s="38"/>
      <c r="BU36" s="38"/>
      <c r="BV36" s="38"/>
      <c r="BW36" s="38"/>
      <c r="BX36" s="38"/>
      <c r="BY36" s="36"/>
      <c r="BZ36" s="38"/>
      <c r="CA36" s="38"/>
      <c r="CB36" s="38"/>
      <c r="CC36" s="38"/>
      <c r="CD36" s="38"/>
      <c r="CE36" s="36"/>
      <c r="CF36" s="38"/>
      <c r="CG36" s="38"/>
      <c r="CH36" s="38"/>
      <c r="CI36" s="38"/>
      <c r="CJ36" s="38"/>
      <c r="CK36" s="36"/>
      <c r="CL36" s="35"/>
      <c r="CM36" s="35"/>
      <c r="CN36" s="35"/>
      <c r="CO36" s="35"/>
      <c r="CP36" s="35"/>
      <c r="CQ36" s="35"/>
      <c r="CR36" s="37"/>
      <c r="CS36" s="39"/>
      <c r="CT36" s="53"/>
      <c r="CU36" s="39"/>
      <c r="CV36" s="39"/>
      <c r="CW36" s="39"/>
      <c r="CX36" s="39"/>
      <c r="CY36" s="39"/>
      <c r="CZ36" s="39"/>
      <c r="DA36" s="39"/>
      <c r="DB36" s="39"/>
      <c r="DC36" s="39"/>
      <c r="DD36" s="39">
        <f>+HLOOKUP('Reporte Evolución Mensual'!$F$2-2,$CR$2:$DC$251, Input!$DG36, FALSE)</f>
        <v>600000</v>
      </c>
      <c r="DE36" s="39">
        <f>+HLOOKUP('Reporte Evolución Mensual'!$F$2-1,$CR$2:$DC$251, Input!$DG36, FALSE)</f>
        <v>397034.79686776857</v>
      </c>
      <c r="DF36" s="39">
        <f>+HLOOKUP('Reporte Evolución Mensual'!$F$2,$CR$2:$DC$371, Input!$DG36, FALSE)</f>
        <v>606592.6506975207</v>
      </c>
      <c r="DG36" s="40">
        <f t="shared" si="37"/>
        <v>36</v>
      </c>
      <c r="DH36" s="37"/>
      <c r="DI36" s="37"/>
      <c r="DJ36" s="37"/>
      <c r="DK36" s="37"/>
      <c r="DL36" s="37"/>
      <c r="DM36" s="37"/>
      <c r="DN36" s="37"/>
      <c r="DO36" s="63"/>
      <c r="DP36" s="63"/>
      <c r="DQ36" s="63"/>
      <c r="DR36" s="63"/>
      <c r="DS36" s="16"/>
      <c r="DT36" s="16"/>
      <c r="DU36" s="16"/>
      <c r="DV36" s="345"/>
    </row>
    <row r="37" spans="1:126" ht="15" customHeight="1" x14ac:dyDescent="0.3">
      <c r="A37" s="1" t="str">
        <f t="shared" si="0"/>
        <v>ADIFSE</v>
      </c>
      <c r="B37" s="1" t="str">
        <f t="shared" si="1"/>
        <v>ADIFSE</v>
      </c>
      <c r="C37" s="1" t="str">
        <f t="shared" si="2"/>
        <v>MAY</v>
      </c>
      <c r="D37" s="1" t="s">
        <v>163</v>
      </c>
      <c r="E37" s="59" t="str">
        <f t="shared" ref="E37:E61" si="87">CONCATENATE(H37," - ",I37)</f>
        <v>Servicios - Servicios Básicos</v>
      </c>
      <c r="F37" s="31">
        <v>31</v>
      </c>
      <c r="G37" s="1" t="s">
        <v>189</v>
      </c>
      <c r="H37" s="32" t="s">
        <v>193</v>
      </c>
      <c r="I37" s="32" t="s">
        <v>194</v>
      </c>
      <c r="J37" s="32" t="s">
        <v>166</v>
      </c>
      <c r="K37" s="51">
        <v>4767751.29</v>
      </c>
      <c r="L37" s="51">
        <v>6000000</v>
      </c>
      <c r="M37" s="51"/>
      <c r="N37" s="51"/>
      <c r="O37" s="51"/>
      <c r="P37" s="51"/>
      <c r="Q37" s="35">
        <f t="shared" si="13"/>
        <v>6000000</v>
      </c>
      <c r="R37" s="51">
        <v>332655.63</v>
      </c>
      <c r="S37" s="51"/>
      <c r="T37" s="51"/>
      <c r="U37" s="51"/>
      <c r="V37" s="51"/>
      <c r="W37" s="52">
        <f t="shared" si="14"/>
        <v>332655.63</v>
      </c>
      <c r="X37" s="51"/>
      <c r="Y37" s="51"/>
      <c r="Z37" s="51"/>
      <c r="AA37" s="51">
        <v>500000</v>
      </c>
      <c r="AB37" s="51"/>
      <c r="AC37" s="52">
        <f t="shared" si="15"/>
        <v>500000</v>
      </c>
      <c r="AD37" s="51"/>
      <c r="AE37" s="51"/>
      <c r="AF37" s="51"/>
      <c r="AG37" s="51">
        <v>600000</v>
      </c>
      <c r="AH37" s="51"/>
      <c r="AI37" s="52">
        <f t="shared" si="16"/>
        <v>600000</v>
      </c>
      <c r="AJ37" s="51">
        <v>397034.79686776857</v>
      </c>
      <c r="AK37" s="51"/>
      <c r="AL37" s="51"/>
      <c r="AM37" s="51"/>
      <c r="AN37" s="51"/>
      <c r="AO37" s="52">
        <f t="shared" si="17"/>
        <v>397034.79686776857</v>
      </c>
      <c r="AP37" s="51"/>
      <c r="AQ37" s="51"/>
      <c r="AR37" s="51"/>
      <c r="AS37" s="51">
        <v>606592.6506975207</v>
      </c>
      <c r="AT37" s="51"/>
      <c r="AU37" s="52">
        <f t="shared" si="18"/>
        <v>606592.6506975207</v>
      </c>
      <c r="AV37" s="51"/>
      <c r="AW37" s="51"/>
      <c r="AX37" s="51"/>
      <c r="AY37" s="51">
        <v>758746.6506975207</v>
      </c>
      <c r="AZ37" s="51"/>
      <c r="BA37" s="52">
        <f t="shared" si="19"/>
        <v>758746.6506975207</v>
      </c>
      <c r="BB37" s="51"/>
      <c r="BC37" s="51"/>
      <c r="BD37" s="51"/>
      <c r="BE37" s="51">
        <v>686592.6506975207</v>
      </c>
      <c r="BF37" s="51"/>
      <c r="BG37" s="52">
        <f t="shared" si="20"/>
        <v>686592.6506975207</v>
      </c>
      <c r="BH37" s="51"/>
      <c r="BI37" s="51"/>
      <c r="BJ37" s="51"/>
      <c r="BK37" s="51">
        <v>686592.6506975207</v>
      </c>
      <c r="BL37" s="51"/>
      <c r="BM37" s="52">
        <f t="shared" si="21"/>
        <v>686592.6506975207</v>
      </c>
      <c r="BN37" s="51"/>
      <c r="BO37" s="51"/>
      <c r="BP37" s="51"/>
      <c r="BQ37" s="51">
        <v>716592.6506975207</v>
      </c>
      <c r="BR37" s="51"/>
      <c r="BS37" s="52">
        <f t="shared" si="22"/>
        <v>716592.6506975207</v>
      </c>
      <c r="BT37" s="51"/>
      <c r="BU37" s="51"/>
      <c r="BV37" s="51"/>
      <c r="BW37" s="51">
        <v>716592.6506975207</v>
      </c>
      <c r="BX37" s="51"/>
      <c r="BY37" s="52">
        <f t="shared" si="23"/>
        <v>716592.6506975207</v>
      </c>
      <c r="BZ37" s="51"/>
      <c r="CA37" s="51"/>
      <c r="CB37" s="51"/>
      <c r="CC37" s="51">
        <v>716592.6506975207</v>
      </c>
      <c r="CD37" s="51"/>
      <c r="CE37" s="52">
        <f t="shared" si="24"/>
        <v>716592.6506975207</v>
      </c>
      <c r="CF37" s="51"/>
      <c r="CG37" s="51"/>
      <c r="CH37" s="51"/>
      <c r="CI37" s="51">
        <v>716592.6506975207</v>
      </c>
      <c r="CJ37" s="51"/>
      <c r="CK37" s="52">
        <f t="shared" si="25"/>
        <v>716592.6506975207</v>
      </c>
      <c r="CL37" s="35">
        <f t="shared" si="9"/>
        <v>729690.42686776863</v>
      </c>
      <c r="CM37" s="35">
        <f t="shared" si="9"/>
        <v>0</v>
      </c>
      <c r="CN37" s="35">
        <f t="shared" si="9"/>
        <v>0</v>
      </c>
      <c r="CO37" s="35">
        <f t="shared" si="9"/>
        <v>6704895.2055801665</v>
      </c>
      <c r="CP37" s="35">
        <f t="shared" si="9"/>
        <v>0</v>
      </c>
      <c r="CQ37" s="35">
        <f t="shared" si="9"/>
        <v>7434585.6324479356</v>
      </c>
      <c r="CR37" s="37">
        <f t="shared" ref="CR37:CR64" si="88">+W37</f>
        <v>332655.63</v>
      </c>
      <c r="CS37" s="39">
        <f t="shared" ref="CS37:CS101" si="89">+AC37</f>
        <v>500000</v>
      </c>
      <c r="CT37" s="53">
        <f t="shared" ref="CT37:CT101" si="90">+AI37</f>
        <v>600000</v>
      </c>
      <c r="CU37" s="39">
        <f t="shared" ref="CU37:CU101" si="91">+AO37</f>
        <v>397034.79686776857</v>
      </c>
      <c r="CV37" s="39">
        <f t="shared" ref="CV37:CV101" si="92">+AU37</f>
        <v>606592.6506975207</v>
      </c>
      <c r="CW37" s="39">
        <f t="shared" ref="CW37:CW101" si="93">+BA37</f>
        <v>758746.6506975207</v>
      </c>
      <c r="CX37" s="39">
        <f t="shared" ref="CX37:CX101" si="94">+BG37</f>
        <v>686592.6506975207</v>
      </c>
      <c r="CY37" s="39">
        <f t="shared" ref="CY37:CY101" si="95">+BM37</f>
        <v>686592.6506975207</v>
      </c>
      <c r="CZ37" s="39">
        <f t="shared" ref="CZ37:CZ101" si="96">+BS37</f>
        <v>716592.6506975207</v>
      </c>
      <c r="DA37" s="39">
        <f t="shared" ref="DA37:DA101" si="97">+BY37</f>
        <v>716592.6506975207</v>
      </c>
      <c r="DB37" s="39">
        <f t="shared" ref="DB37:DB101" si="98">+CE37</f>
        <v>716592.6506975207</v>
      </c>
      <c r="DC37" s="39">
        <f t="shared" ref="DC37:DC101" si="99">+CK37</f>
        <v>716592.6506975207</v>
      </c>
      <c r="DD37" s="39">
        <f>+HLOOKUP('Reporte Evolución Mensual'!$F$2-2,$CR$2:$DC$251, Input!$DG37, FALSE)</f>
        <v>500000</v>
      </c>
      <c r="DE37" s="39">
        <f>+HLOOKUP('Reporte Evolución Mensual'!$F$2-1,$CR$2:$DC$251, Input!$DG37, FALSE)</f>
        <v>500000</v>
      </c>
      <c r="DF37" s="39">
        <f>+HLOOKUP('Reporte Evolución Mensual'!$F$2,$CR$2:$DC$371, Input!$DG37, FALSE)</f>
        <v>1146497.6795555556</v>
      </c>
      <c r="DG37" s="40">
        <f t="shared" si="37"/>
        <v>37</v>
      </c>
      <c r="DH37" s="39"/>
      <c r="DI37" s="37">
        <f t="shared" ref="DI37:DI46" si="100">+CR37</f>
        <v>332655.63</v>
      </c>
      <c r="DJ37" s="37">
        <f t="shared" ref="DJ37:DT46" si="101">+DI37+CS37</f>
        <v>832655.63</v>
      </c>
      <c r="DK37" s="37">
        <f t="shared" si="101"/>
        <v>1432655.63</v>
      </c>
      <c r="DL37" s="37">
        <f t="shared" si="101"/>
        <v>1829690.4268677684</v>
      </c>
      <c r="DM37" s="37">
        <f t="shared" si="101"/>
        <v>2436283.0775652891</v>
      </c>
      <c r="DN37" s="37">
        <f t="shared" si="101"/>
        <v>3195029.72826281</v>
      </c>
      <c r="DO37" s="37">
        <f t="shared" si="101"/>
        <v>3881622.378960331</v>
      </c>
      <c r="DP37" s="37">
        <f t="shared" si="101"/>
        <v>4568215.0296578519</v>
      </c>
      <c r="DQ37" s="37">
        <f t="shared" si="101"/>
        <v>5284807.6803553728</v>
      </c>
      <c r="DR37" s="37">
        <f t="shared" si="101"/>
        <v>6001400.3310528938</v>
      </c>
      <c r="DS37" s="37">
        <f t="shared" si="101"/>
        <v>6717992.9817504147</v>
      </c>
      <c r="DT37" s="37">
        <f t="shared" si="101"/>
        <v>7434585.6324479356</v>
      </c>
      <c r="DU37" s="16"/>
      <c r="DV37" s="345" t="s">
        <v>163</v>
      </c>
    </row>
    <row r="38" spans="1:126" ht="15" customHeight="1" x14ac:dyDescent="0.3">
      <c r="A38" s="1" t="str">
        <f t="shared" si="0"/>
        <v>ADIFSE</v>
      </c>
      <c r="B38" s="1" t="str">
        <f t="shared" si="1"/>
        <v>ADIFSE</v>
      </c>
      <c r="C38" s="1" t="str">
        <f t="shared" si="2"/>
        <v>MAY</v>
      </c>
      <c r="D38" s="1" t="s">
        <v>163</v>
      </c>
      <c r="E38" s="59" t="str">
        <f t="shared" si="87"/>
        <v>Servicios - Alquileres y Derechos</v>
      </c>
      <c r="F38" s="31">
        <v>32</v>
      </c>
      <c r="G38" s="1" t="s">
        <v>189</v>
      </c>
      <c r="H38" s="32" t="s">
        <v>193</v>
      </c>
      <c r="I38" s="32" t="s">
        <v>195</v>
      </c>
      <c r="J38" s="32" t="s">
        <v>166</v>
      </c>
      <c r="K38" s="51">
        <v>4982187.33</v>
      </c>
      <c r="L38" s="51">
        <v>6000000</v>
      </c>
      <c r="M38" s="51"/>
      <c r="N38" s="51"/>
      <c r="O38" s="51"/>
      <c r="P38" s="51"/>
      <c r="Q38" s="35">
        <f t="shared" si="13"/>
        <v>6000000</v>
      </c>
      <c r="R38" s="51">
        <v>357472.18</v>
      </c>
      <c r="S38" s="51"/>
      <c r="T38" s="51"/>
      <c r="U38" s="51"/>
      <c r="V38" s="51"/>
      <c r="W38" s="52">
        <f t="shared" si="14"/>
        <v>357472.18</v>
      </c>
      <c r="X38" s="51"/>
      <c r="Y38" s="51"/>
      <c r="Z38" s="51"/>
      <c r="AA38" s="51">
        <v>400000</v>
      </c>
      <c r="AB38" s="51"/>
      <c r="AC38" s="52">
        <f t="shared" si="15"/>
        <v>400000</v>
      </c>
      <c r="AD38" s="51"/>
      <c r="AE38" s="51"/>
      <c r="AF38" s="51"/>
      <c r="AG38" s="51">
        <v>500000</v>
      </c>
      <c r="AH38" s="51"/>
      <c r="AI38" s="52">
        <f t="shared" si="16"/>
        <v>500000</v>
      </c>
      <c r="AJ38" s="51">
        <v>500000</v>
      </c>
      <c r="AK38" s="51"/>
      <c r="AL38" s="51"/>
      <c r="AM38" s="51"/>
      <c r="AN38" s="51"/>
      <c r="AO38" s="52">
        <f t="shared" si="17"/>
        <v>500000</v>
      </c>
      <c r="AP38" s="51"/>
      <c r="AQ38" s="51"/>
      <c r="AR38" s="51"/>
      <c r="AS38" s="51">
        <v>1146497.6795555556</v>
      </c>
      <c r="AT38" s="51"/>
      <c r="AU38" s="52">
        <f t="shared" si="18"/>
        <v>1146497.6795555556</v>
      </c>
      <c r="AV38" s="51"/>
      <c r="AW38" s="51"/>
      <c r="AX38" s="51"/>
      <c r="AY38" s="51">
        <v>1151497.6795555556</v>
      </c>
      <c r="AZ38" s="51"/>
      <c r="BA38" s="52">
        <f t="shared" si="19"/>
        <v>1151497.6795555556</v>
      </c>
      <c r="BB38" s="51"/>
      <c r="BC38" s="51"/>
      <c r="BD38" s="51"/>
      <c r="BE38" s="51">
        <v>1169561.6795555556</v>
      </c>
      <c r="BF38" s="51"/>
      <c r="BG38" s="52">
        <f t="shared" si="20"/>
        <v>1169561.6795555556</v>
      </c>
      <c r="BH38" s="51"/>
      <c r="BI38" s="51"/>
      <c r="BJ38" s="51"/>
      <c r="BK38" s="51">
        <v>1169561.6795555556</v>
      </c>
      <c r="BL38" s="51"/>
      <c r="BM38" s="52">
        <f t="shared" si="21"/>
        <v>1169561.6795555556</v>
      </c>
      <c r="BN38" s="51"/>
      <c r="BO38" s="51"/>
      <c r="BP38" s="51"/>
      <c r="BQ38" s="51">
        <v>1204651.6795555556</v>
      </c>
      <c r="BR38" s="51"/>
      <c r="BS38" s="52">
        <f t="shared" si="22"/>
        <v>1204651.6795555556</v>
      </c>
      <c r="BT38" s="51"/>
      <c r="BU38" s="51"/>
      <c r="BV38" s="51"/>
      <c r="BW38" s="51">
        <v>1204651.6795555556</v>
      </c>
      <c r="BX38" s="51"/>
      <c r="BY38" s="52">
        <f t="shared" si="23"/>
        <v>1204651.6795555556</v>
      </c>
      <c r="BZ38" s="51"/>
      <c r="CA38" s="51"/>
      <c r="CB38" s="51"/>
      <c r="CC38" s="51">
        <v>1204651.6795555556</v>
      </c>
      <c r="CD38" s="51"/>
      <c r="CE38" s="52">
        <f t="shared" si="24"/>
        <v>1204651.6795555556</v>
      </c>
      <c r="CF38" s="51"/>
      <c r="CG38" s="51"/>
      <c r="CH38" s="51"/>
      <c r="CI38" s="51">
        <v>1204651.6795555556</v>
      </c>
      <c r="CJ38" s="51"/>
      <c r="CK38" s="52">
        <f t="shared" si="25"/>
        <v>1204651.6795555556</v>
      </c>
      <c r="CL38" s="35">
        <f t="shared" si="9"/>
        <v>857472.17999999993</v>
      </c>
      <c r="CM38" s="35">
        <f t="shared" si="9"/>
        <v>0</v>
      </c>
      <c r="CN38" s="35">
        <f t="shared" si="9"/>
        <v>0</v>
      </c>
      <c r="CO38" s="35">
        <f t="shared" si="9"/>
        <v>10355725.436444445</v>
      </c>
      <c r="CP38" s="35">
        <f t="shared" si="9"/>
        <v>0</v>
      </c>
      <c r="CQ38" s="35">
        <f t="shared" si="9"/>
        <v>11213197.616444446</v>
      </c>
      <c r="CR38" s="37">
        <f t="shared" si="88"/>
        <v>357472.18</v>
      </c>
      <c r="CS38" s="39">
        <f t="shared" si="89"/>
        <v>400000</v>
      </c>
      <c r="CT38" s="53">
        <f t="shared" si="90"/>
        <v>500000</v>
      </c>
      <c r="CU38" s="39">
        <f t="shared" si="91"/>
        <v>500000</v>
      </c>
      <c r="CV38" s="39">
        <f t="shared" si="92"/>
        <v>1146497.6795555556</v>
      </c>
      <c r="CW38" s="39">
        <f t="shared" si="93"/>
        <v>1151497.6795555556</v>
      </c>
      <c r="CX38" s="39">
        <f t="shared" si="94"/>
        <v>1169561.6795555556</v>
      </c>
      <c r="CY38" s="39">
        <f t="shared" si="95"/>
        <v>1169561.6795555556</v>
      </c>
      <c r="CZ38" s="39">
        <f t="shared" si="96"/>
        <v>1204651.6795555556</v>
      </c>
      <c r="DA38" s="39">
        <f t="shared" si="97"/>
        <v>1204651.6795555556</v>
      </c>
      <c r="DB38" s="39">
        <f t="shared" si="98"/>
        <v>1204651.6795555556</v>
      </c>
      <c r="DC38" s="39">
        <f t="shared" si="99"/>
        <v>1204651.6795555556</v>
      </c>
      <c r="DD38" s="39">
        <f>+HLOOKUP('Reporte Evolución Mensual'!$F$2-2,$CR$2:$DC$251, Input!$DG38, FALSE)</f>
        <v>5000000</v>
      </c>
      <c r="DE38" s="39">
        <f>+HLOOKUP('Reporte Evolución Mensual'!$F$2-1,$CR$2:$DC$251, Input!$DG38, FALSE)</f>
        <v>4582943.0345057854</v>
      </c>
      <c r="DF38" s="39">
        <f>+HLOOKUP('Reporte Evolución Mensual'!$F$2,$CR$2:$DC$371, Input!$DG38, FALSE)</f>
        <v>4738723.6240511108</v>
      </c>
      <c r="DG38" s="40">
        <f t="shared" si="37"/>
        <v>38</v>
      </c>
      <c r="DH38" s="39"/>
      <c r="DI38" s="37">
        <f t="shared" si="100"/>
        <v>357472.18</v>
      </c>
      <c r="DJ38" s="37">
        <f t="shared" si="101"/>
        <v>757472.17999999993</v>
      </c>
      <c r="DK38" s="37">
        <f t="shared" si="101"/>
        <v>1257472.18</v>
      </c>
      <c r="DL38" s="37">
        <f t="shared" si="101"/>
        <v>1757472.18</v>
      </c>
      <c r="DM38" s="37">
        <f t="shared" si="101"/>
        <v>2903969.8595555555</v>
      </c>
      <c r="DN38" s="37">
        <f t="shared" si="101"/>
        <v>4055467.5391111113</v>
      </c>
      <c r="DO38" s="37">
        <f t="shared" si="101"/>
        <v>5225029.2186666671</v>
      </c>
      <c r="DP38" s="37">
        <f t="shared" si="101"/>
        <v>6394590.8982222229</v>
      </c>
      <c r="DQ38" s="37">
        <f t="shared" si="101"/>
        <v>7599242.5777777787</v>
      </c>
      <c r="DR38" s="37">
        <f t="shared" si="101"/>
        <v>8803894.2573333345</v>
      </c>
      <c r="DS38" s="37">
        <f t="shared" si="101"/>
        <v>10008545.93688889</v>
      </c>
      <c r="DT38" s="37">
        <f t="shared" si="101"/>
        <v>11213197.616444446</v>
      </c>
      <c r="DU38" s="16"/>
      <c r="DV38" s="345" t="s">
        <v>163</v>
      </c>
    </row>
    <row r="39" spans="1:126" ht="15" customHeight="1" x14ac:dyDescent="0.3">
      <c r="A39" s="1" t="str">
        <f t="shared" si="0"/>
        <v>ADIFSE</v>
      </c>
      <c r="B39" s="1" t="str">
        <f t="shared" si="1"/>
        <v>ADIFSE</v>
      </c>
      <c r="C39" s="1" t="str">
        <f t="shared" si="2"/>
        <v>MAY</v>
      </c>
      <c r="D39" s="1" t="s">
        <v>163</v>
      </c>
      <c r="E39" s="59" t="str">
        <f t="shared" si="87"/>
        <v>Servicios - Mantenimiento, Reparación y Limpieza</v>
      </c>
      <c r="F39" s="31">
        <v>33</v>
      </c>
      <c r="G39" s="1" t="s">
        <v>189</v>
      </c>
      <c r="H39" s="32" t="s">
        <v>193</v>
      </c>
      <c r="I39" s="32" t="s">
        <v>196</v>
      </c>
      <c r="J39" s="32" t="s">
        <v>166</v>
      </c>
      <c r="K39" s="51">
        <v>54322320.009999998</v>
      </c>
      <c r="L39" s="51">
        <v>60000000</v>
      </c>
      <c r="M39" s="51"/>
      <c r="N39" s="51"/>
      <c r="O39" s="51"/>
      <c r="P39" s="51"/>
      <c r="Q39" s="35">
        <f t="shared" si="13"/>
        <v>60000000</v>
      </c>
      <c r="R39" s="51">
        <v>4239419.29</v>
      </c>
      <c r="S39" s="51"/>
      <c r="T39" s="51"/>
      <c r="U39" s="51"/>
      <c r="V39" s="51"/>
      <c r="W39" s="52">
        <f t="shared" si="14"/>
        <v>4239419.29</v>
      </c>
      <c r="X39" s="51"/>
      <c r="Y39" s="51"/>
      <c r="Z39" s="51"/>
      <c r="AA39" s="51">
        <v>5050000</v>
      </c>
      <c r="AB39" s="51"/>
      <c r="AC39" s="52">
        <f t="shared" si="15"/>
        <v>5050000</v>
      </c>
      <c r="AD39" s="51"/>
      <c r="AE39" s="51"/>
      <c r="AF39" s="51"/>
      <c r="AG39" s="51">
        <v>5000000</v>
      </c>
      <c r="AH39" s="51"/>
      <c r="AI39" s="52">
        <f t="shared" si="16"/>
        <v>5000000</v>
      </c>
      <c r="AJ39" s="51">
        <v>4582943.0345057854</v>
      </c>
      <c r="AK39" s="51"/>
      <c r="AL39" s="51"/>
      <c r="AM39" s="51"/>
      <c r="AN39" s="51"/>
      <c r="AO39" s="52">
        <f t="shared" si="17"/>
        <v>4582943.0345057854</v>
      </c>
      <c r="AP39" s="51"/>
      <c r="AQ39" s="51"/>
      <c r="AR39" s="51"/>
      <c r="AS39" s="51">
        <v>4738723.6240511108</v>
      </c>
      <c r="AT39" s="51"/>
      <c r="AU39" s="52">
        <f t="shared" si="18"/>
        <v>4738723.6240511108</v>
      </c>
      <c r="AV39" s="51"/>
      <c r="AW39" s="51"/>
      <c r="AX39" s="51"/>
      <c r="AY39" s="51">
        <v>7534915.6240511145</v>
      </c>
      <c r="AZ39" s="51"/>
      <c r="BA39" s="52">
        <f t="shared" si="19"/>
        <v>7534915.6240511145</v>
      </c>
      <c r="BB39" s="51"/>
      <c r="BC39" s="51"/>
      <c r="BD39" s="51"/>
      <c r="BE39" s="51">
        <v>7956259.6240511127</v>
      </c>
      <c r="BF39" s="51"/>
      <c r="BG39" s="52">
        <f t="shared" si="20"/>
        <v>7956259.6240511127</v>
      </c>
      <c r="BH39" s="51"/>
      <c r="BI39" s="51"/>
      <c r="BJ39" s="51"/>
      <c r="BK39" s="51">
        <v>7956259.6240511127</v>
      </c>
      <c r="BL39" s="51"/>
      <c r="BM39" s="52">
        <f t="shared" si="21"/>
        <v>7956259.6240511127</v>
      </c>
      <c r="BN39" s="51"/>
      <c r="BO39" s="51"/>
      <c r="BP39" s="51"/>
      <c r="BQ39" s="51">
        <v>10446019.624051115</v>
      </c>
      <c r="BR39" s="51"/>
      <c r="BS39" s="52">
        <f t="shared" si="22"/>
        <v>10446019.624051115</v>
      </c>
      <c r="BT39" s="51"/>
      <c r="BU39" s="51"/>
      <c r="BV39" s="51"/>
      <c r="BW39" s="51">
        <v>10446019.624051115</v>
      </c>
      <c r="BX39" s="51"/>
      <c r="BY39" s="52">
        <f t="shared" si="23"/>
        <v>10446019.624051115</v>
      </c>
      <c r="BZ39" s="51"/>
      <c r="CA39" s="51"/>
      <c r="CB39" s="51"/>
      <c r="CC39" s="51">
        <v>10446019.624051115</v>
      </c>
      <c r="CD39" s="51"/>
      <c r="CE39" s="52">
        <f t="shared" si="24"/>
        <v>10446019.624051115</v>
      </c>
      <c r="CF39" s="51"/>
      <c r="CG39" s="51"/>
      <c r="CH39" s="51"/>
      <c r="CI39" s="51">
        <v>10446019.624051115</v>
      </c>
      <c r="CJ39" s="51"/>
      <c r="CK39" s="52">
        <f t="shared" si="25"/>
        <v>10446019.624051115</v>
      </c>
      <c r="CL39" s="35">
        <f t="shared" si="9"/>
        <v>8822362.3245057855</v>
      </c>
      <c r="CM39" s="35">
        <f t="shared" si="9"/>
        <v>0</v>
      </c>
      <c r="CN39" s="35">
        <f t="shared" si="9"/>
        <v>0</v>
      </c>
      <c r="CO39" s="35">
        <f t="shared" si="9"/>
        <v>80020236.992408901</v>
      </c>
      <c r="CP39" s="35">
        <f t="shared" si="9"/>
        <v>0</v>
      </c>
      <c r="CQ39" s="35">
        <f t="shared" si="9"/>
        <v>88842599.316914678</v>
      </c>
      <c r="CR39" s="37">
        <f t="shared" si="88"/>
        <v>4239419.29</v>
      </c>
      <c r="CS39" s="39">
        <f t="shared" si="89"/>
        <v>5050000</v>
      </c>
      <c r="CT39" s="53">
        <f t="shared" si="90"/>
        <v>5000000</v>
      </c>
      <c r="CU39" s="39">
        <f t="shared" si="91"/>
        <v>4582943.0345057854</v>
      </c>
      <c r="CV39" s="39">
        <f t="shared" si="92"/>
        <v>4738723.6240511108</v>
      </c>
      <c r="CW39" s="39">
        <f t="shared" si="93"/>
        <v>7534915.6240511145</v>
      </c>
      <c r="CX39" s="39">
        <f t="shared" si="94"/>
        <v>7956259.6240511127</v>
      </c>
      <c r="CY39" s="39">
        <f t="shared" si="95"/>
        <v>7956259.6240511127</v>
      </c>
      <c r="CZ39" s="39">
        <f t="shared" si="96"/>
        <v>10446019.624051115</v>
      </c>
      <c r="DA39" s="39">
        <f t="shared" si="97"/>
        <v>10446019.624051115</v>
      </c>
      <c r="DB39" s="39">
        <f t="shared" si="98"/>
        <v>10446019.624051115</v>
      </c>
      <c r="DC39" s="39">
        <f t="shared" si="99"/>
        <v>10446019.624051115</v>
      </c>
      <c r="DD39" s="39">
        <f>+HLOOKUP('Reporte Evolución Mensual'!$F$2-2,$CR$2:$DC$251, Input!$DG39, FALSE)</f>
        <v>1600000</v>
      </c>
      <c r="DE39" s="39">
        <f>+HLOOKUP('Reporte Evolución Mensual'!$F$2-1,$CR$2:$DC$251, Input!$DG39, FALSE)</f>
        <v>1600000</v>
      </c>
      <c r="DF39" s="39">
        <f>+HLOOKUP('Reporte Evolución Mensual'!$F$2,$CR$2:$DC$371, Input!$DG39, FALSE)</f>
        <v>2095846.7</v>
      </c>
      <c r="DG39" s="40">
        <f t="shared" si="37"/>
        <v>39</v>
      </c>
      <c r="DH39" s="39"/>
      <c r="DI39" s="37">
        <f t="shared" si="100"/>
        <v>4239419.29</v>
      </c>
      <c r="DJ39" s="37">
        <f t="shared" si="101"/>
        <v>9289419.2899999991</v>
      </c>
      <c r="DK39" s="37">
        <f t="shared" si="101"/>
        <v>14289419.289999999</v>
      </c>
      <c r="DL39" s="37">
        <f t="shared" si="101"/>
        <v>18872362.324505784</v>
      </c>
      <c r="DM39" s="37">
        <f t="shared" si="101"/>
        <v>23611085.948556893</v>
      </c>
      <c r="DN39" s="37">
        <f t="shared" si="101"/>
        <v>31146001.572608009</v>
      </c>
      <c r="DO39" s="37">
        <f t="shared" si="101"/>
        <v>39102261.196659118</v>
      </c>
      <c r="DP39" s="37">
        <f t="shared" si="101"/>
        <v>47058520.820710227</v>
      </c>
      <c r="DQ39" s="37">
        <f t="shared" si="101"/>
        <v>57504540.444761343</v>
      </c>
      <c r="DR39" s="37">
        <f t="shared" si="101"/>
        <v>67950560.06881246</v>
      </c>
      <c r="DS39" s="37">
        <f t="shared" si="101"/>
        <v>78396579.692863569</v>
      </c>
      <c r="DT39" s="37">
        <f t="shared" si="101"/>
        <v>88842599.316914678</v>
      </c>
      <c r="DU39" s="16"/>
      <c r="DV39" s="345" t="s">
        <v>163</v>
      </c>
    </row>
    <row r="40" spans="1:126" ht="15" customHeight="1" x14ac:dyDescent="0.3">
      <c r="A40" s="1" t="str">
        <f t="shared" si="0"/>
        <v>ADIFSE</v>
      </c>
      <c r="B40" s="1" t="str">
        <f t="shared" si="1"/>
        <v>ADIFSE</v>
      </c>
      <c r="C40" s="1" t="str">
        <f t="shared" si="2"/>
        <v>MAY</v>
      </c>
      <c r="D40" s="1" t="s">
        <v>163</v>
      </c>
      <c r="E40" s="59" t="str">
        <f t="shared" si="87"/>
        <v>Servicios - Técnicos y Profesionales</v>
      </c>
      <c r="F40" s="31">
        <v>34</v>
      </c>
      <c r="G40" s="1" t="s">
        <v>189</v>
      </c>
      <c r="H40" s="32" t="s">
        <v>193</v>
      </c>
      <c r="I40" s="32" t="s">
        <v>197</v>
      </c>
      <c r="J40" s="32" t="s">
        <v>166</v>
      </c>
      <c r="K40" s="51">
        <v>16776041.790000001</v>
      </c>
      <c r="L40" s="51">
        <v>18000000</v>
      </c>
      <c r="M40" s="51"/>
      <c r="N40" s="51"/>
      <c r="O40" s="51"/>
      <c r="P40" s="51"/>
      <c r="Q40" s="35">
        <f t="shared" si="13"/>
        <v>18000000</v>
      </c>
      <c r="R40" s="51">
        <v>859085.24</v>
      </c>
      <c r="S40" s="51"/>
      <c r="T40" s="51"/>
      <c r="U40" s="51"/>
      <c r="V40" s="51"/>
      <c r="W40" s="52">
        <f t="shared" si="14"/>
        <v>859085.24</v>
      </c>
      <c r="X40" s="51"/>
      <c r="Y40" s="51"/>
      <c r="Z40" s="51"/>
      <c r="AA40" s="51">
        <v>1000000</v>
      </c>
      <c r="AB40" s="51"/>
      <c r="AC40" s="52">
        <f t="shared" si="15"/>
        <v>1000000</v>
      </c>
      <c r="AD40" s="51"/>
      <c r="AE40" s="51"/>
      <c r="AF40" s="51"/>
      <c r="AG40" s="51">
        <v>1600000</v>
      </c>
      <c r="AH40" s="51"/>
      <c r="AI40" s="52">
        <f t="shared" si="16"/>
        <v>1600000</v>
      </c>
      <c r="AJ40" s="51">
        <v>1600000</v>
      </c>
      <c r="AK40" s="51"/>
      <c r="AL40" s="51"/>
      <c r="AM40" s="51"/>
      <c r="AN40" s="51"/>
      <c r="AO40" s="52">
        <f t="shared" si="17"/>
        <v>1600000</v>
      </c>
      <c r="AP40" s="51"/>
      <c r="AQ40" s="51"/>
      <c r="AR40" s="51"/>
      <c r="AS40" s="51">
        <v>2095846.7</v>
      </c>
      <c r="AT40" s="51"/>
      <c r="AU40" s="52">
        <f t="shared" si="18"/>
        <v>2095846.7</v>
      </c>
      <c r="AV40" s="51"/>
      <c r="AW40" s="51"/>
      <c r="AX40" s="51"/>
      <c r="AY40" s="51">
        <v>2456846.7000000002</v>
      </c>
      <c r="AZ40" s="51"/>
      <c r="BA40" s="52">
        <f t="shared" si="19"/>
        <v>2456846.7000000002</v>
      </c>
      <c r="BB40" s="51"/>
      <c r="BC40" s="51"/>
      <c r="BD40" s="51"/>
      <c r="BE40" s="51">
        <v>2837192.7</v>
      </c>
      <c r="BF40" s="51"/>
      <c r="BG40" s="52">
        <f t="shared" si="20"/>
        <v>2837192.7</v>
      </c>
      <c r="BH40" s="51"/>
      <c r="BI40" s="51"/>
      <c r="BJ40" s="51"/>
      <c r="BK40" s="51">
        <v>2837192.7</v>
      </c>
      <c r="BL40" s="51"/>
      <c r="BM40" s="52">
        <f t="shared" si="21"/>
        <v>2837192.7</v>
      </c>
      <c r="BN40" s="51">
        <v>2586000</v>
      </c>
      <c r="BO40" s="51"/>
      <c r="BP40" s="51"/>
      <c r="BQ40" s="51">
        <f>2957250.52-2586000</f>
        <v>371250.52</v>
      </c>
      <c r="BR40" s="51"/>
      <c r="BS40" s="52">
        <f t="shared" si="22"/>
        <v>2957250.52</v>
      </c>
      <c r="BT40" s="51">
        <v>2586000</v>
      </c>
      <c r="BU40" s="51"/>
      <c r="BV40" s="51"/>
      <c r="BW40" s="51">
        <f>2957250.52-2586000</f>
        <v>371250.52</v>
      </c>
      <c r="BX40" s="51"/>
      <c r="BY40" s="52">
        <f t="shared" si="23"/>
        <v>2957250.52</v>
      </c>
      <c r="BZ40" s="51">
        <v>2586000</v>
      </c>
      <c r="CA40" s="51"/>
      <c r="CB40" s="51"/>
      <c r="CC40" s="51">
        <f>2957250.52-2586000</f>
        <v>371250.52</v>
      </c>
      <c r="CD40" s="51"/>
      <c r="CE40" s="52">
        <f t="shared" si="24"/>
        <v>2957250.52</v>
      </c>
      <c r="CF40" s="51">
        <v>2586000</v>
      </c>
      <c r="CG40" s="51"/>
      <c r="CH40" s="51"/>
      <c r="CI40" s="51">
        <f>2957250.52-2586000</f>
        <v>371250.52</v>
      </c>
      <c r="CJ40" s="51"/>
      <c r="CK40" s="52">
        <f t="shared" si="25"/>
        <v>2957250.52</v>
      </c>
      <c r="CL40" s="35">
        <f t="shared" si="9"/>
        <v>12803085.24</v>
      </c>
      <c r="CM40" s="35">
        <f t="shared" si="9"/>
        <v>0</v>
      </c>
      <c r="CN40" s="35">
        <f t="shared" si="9"/>
        <v>0</v>
      </c>
      <c r="CO40" s="35">
        <f t="shared" si="9"/>
        <v>14312080.879999999</v>
      </c>
      <c r="CP40" s="35">
        <f t="shared" si="9"/>
        <v>0</v>
      </c>
      <c r="CQ40" s="35">
        <f t="shared" si="9"/>
        <v>27115166.119999997</v>
      </c>
      <c r="CR40" s="37">
        <f t="shared" si="88"/>
        <v>859085.24</v>
      </c>
      <c r="CS40" s="39">
        <f t="shared" si="89"/>
        <v>1000000</v>
      </c>
      <c r="CT40" s="53">
        <f t="shared" si="90"/>
        <v>1600000</v>
      </c>
      <c r="CU40" s="39">
        <f t="shared" si="91"/>
        <v>1600000</v>
      </c>
      <c r="CV40" s="39">
        <f t="shared" si="92"/>
        <v>2095846.7</v>
      </c>
      <c r="CW40" s="39">
        <f t="shared" si="93"/>
        <v>2456846.7000000002</v>
      </c>
      <c r="CX40" s="39">
        <f t="shared" si="94"/>
        <v>2837192.7</v>
      </c>
      <c r="CY40" s="39">
        <f t="shared" si="95"/>
        <v>2837192.7</v>
      </c>
      <c r="CZ40" s="39">
        <f t="shared" si="96"/>
        <v>2957250.52</v>
      </c>
      <c r="DA40" s="39">
        <f t="shared" si="97"/>
        <v>2957250.52</v>
      </c>
      <c r="DB40" s="39">
        <f t="shared" si="98"/>
        <v>2957250.52</v>
      </c>
      <c r="DC40" s="39">
        <f t="shared" si="99"/>
        <v>2957250.52</v>
      </c>
      <c r="DD40" s="39">
        <f>+HLOOKUP('Reporte Evolución Mensual'!$F$2-2,$CR$2:$DC$251, Input!$DG40, FALSE)</f>
        <v>300000</v>
      </c>
      <c r="DE40" s="39">
        <f>+HLOOKUP('Reporte Evolución Mensual'!$F$2-1,$CR$2:$DC$251, Input!$DG40, FALSE)</f>
        <v>0</v>
      </c>
      <c r="DF40" s="39">
        <f>+HLOOKUP('Reporte Evolución Mensual'!$F$2,$CR$2:$DC$371, Input!$DG40, FALSE)</f>
        <v>200000</v>
      </c>
      <c r="DG40" s="40">
        <f t="shared" si="37"/>
        <v>40</v>
      </c>
      <c r="DH40" s="39"/>
      <c r="DI40" s="37">
        <f t="shared" si="100"/>
        <v>859085.24</v>
      </c>
      <c r="DJ40" s="37">
        <f t="shared" si="101"/>
        <v>1859085.24</v>
      </c>
      <c r="DK40" s="37">
        <f t="shared" si="101"/>
        <v>3459085.24</v>
      </c>
      <c r="DL40" s="37">
        <f t="shared" si="101"/>
        <v>5059085.24</v>
      </c>
      <c r="DM40" s="37">
        <f t="shared" si="101"/>
        <v>7154931.9400000004</v>
      </c>
      <c r="DN40" s="37">
        <f t="shared" si="101"/>
        <v>9611778.6400000006</v>
      </c>
      <c r="DO40" s="37">
        <f t="shared" si="101"/>
        <v>12448971.34</v>
      </c>
      <c r="DP40" s="37">
        <f t="shared" si="101"/>
        <v>15286164.039999999</v>
      </c>
      <c r="DQ40" s="37">
        <f t="shared" si="101"/>
        <v>18243414.559999999</v>
      </c>
      <c r="DR40" s="37">
        <f t="shared" si="101"/>
        <v>21200665.079999998</v>
      </c>
      <c r="DS40" s="37">
        <f t="shared" si="101"/>
        <v>24157915.599999998</v>
      </c>
      <c r="DT40" s="37">
        <f t="shared" si="101"/>
        <v>27115166.119999997</v>
      </c>
      <c r="DU40" s="16"/>
      <c r="DV40" s="345" t="s">
        <v>163</v>
      </c>
    </row>
    <row r="41" spans="1:126" ht="15" customHeight="1" x14ac:dyDescent="0.3">
      <c r="A41" s="1" t="str">
        <f t="shared" si="0"/>
        <v>ADIFSE</v>
      </c>
      <c r="B41" s="1" t="str">
        <f t="shared" si="1"/>
        <v>ADIFSE</v>
      </c>
      <c r="C41" s="1" t="str">
        <f t="shared" si="2"/>
        <v>MAY</v>
      </c>
      <c r="D41" s="1" t="s">
        <v>163</v>
      </c>
      <c r="E41" s="59" t="str">
        <f t="shared" si="87"/>
        <v>Servicios - Comerciales y Financieros</v>
      </c>
      <c r="F41" s="31">
        <v>35</v>
      </c>
      <c r="G41" s="1" t="s">
        <v>189</v>
      </c>
      <c r="H41" s="32" t="s">
        <v>193</v>
      </c>
      <c r="I41" s="32" t="s">
        <v>198</v>
      </c>
      <c r="J41" s="32" t="s">
        <v>166</v>
      </c>
      <c r="K41" s="51">
        <v>-8546319.2300000004</v>
      </c>
      <c r="L41" s="51">
        <v>2400000</v>
      </c>
      <c r="M41" s="51"/>
      <c r="N41" s="51"/>
      <c r="O41" s="51"/>
      <c r="P41" s="51"/>
      <c r="Q41" s="35">
        <f t="shared" si="13"/>
        <v>2400000</v>
      </c>
      <c r="R41" s="51">
        <v>-925274.89</v>
      </c>
      <c r="S41" s="51"/>
      <c r="T41" s="51"/>
      <c r="U41" s="51"/>
      <c r="V41" s="51"/>
      <c r="W41" s="52">
        <f t="shared" si="14"/>
        <v>-925274.89</v>
      </c>
      <c r="X41" s="51"/>
      <c r="Y41" s="51"/>
      <c r="Z41" s="51"/>
      <c r="AA41" s="51">
        <v>300000</v>
      </c>
      <c r="AB41" s="51"/>
      <c r="AC41" s="52">
        <f t="shared" si="15"/>
        <v>300000</v>
      </c>
      <c r="AD41" s="51"/>
      <c r="AE41" s="51"/>
      <c r="AF41" s="51"/>
      <c r="AG41" s="51">
        <v>300000</v>
      </c>
      <c r="AH41" s="51"/>
      <c r="AI41" s="52">
        <f t="shared" si="16"/>
        <v>300000</v>
      </c>
      <c r="AJ41" s="51">
        <v>0</v>
      </c>
      <c r="AK41" s="51"/>
      <c r="AL41" s="51"/>
      <c r="AM41" s="51"/>
      <c r="AN41" s="51"/>
      <c r="AO41" s="52">
        <f t="shared" si="17"/>
        <v>0</v>
      </c>
      <c r="AP41" s="51"/>
      <c r="AQ41" s="51"/>
      <c r="AR41" s="51"/>
      <c r="AS41" s="51">
        <v>200000</v>
      </c>
      <c r="AT41" s="51"/>
      <c r="AU41" s="52">
        <f t="shared" si="18"/>
        <v>200000</v>
      </c>
      <c r="AV41" s="51"/>
      <c r="AW41" s="51"/>
      <c r="AX41" s="51"/>
      <c r="AY41" s="51">
        <v>200000</v>
      </c>
      <c r="AZ41" s="51"/>
      <c r="BA41" s="52">
        <f t="shared" si="19"/>
        <v>200000</v>
      </c>
      <c r="BB41" s="51"/>
      <c r="BC41" s="51"/>
      <c r="BD41" s="51"/>
      <c r="BE41" s="51">
        <v>200000</v>
      </c>
      <c r="BF41" s="51"/>
      <c r="BG41" s="52">
        <f t="shared" si="20"/>
        <v>200000</v>
      </c>
      <c r="BH41" s="51"/>
      <c r="BI41" s="51"/>
      <c r="BJ41" s="51"/>
      <c r="BK41" s="51">
        <v>200000</v>
      </c>
      <c r="BL41" s="51"/>
      <c r="BM41" s="52">
        <f t="shared" si="21"/>
        <v>200000</v>
      </c>
      <c r="BN41" s="51"/>
      <c r="BO41" s="51"/>
      <c r="BP41" s="51"/>
      <c r="BQ41" s="51">
        <v>200000</v>
      </c>
      <c r="BR41" s="51"/>
      <c r="BS41" s="52">
        <f t="shared" si="22"/>
        <v>200000</v>
      </c>
      <c r="BT41" s="51"/>
      <c r="BU41" s="51"/>
      <c r="BV41" s="51"/>
      <c r="BW41" s="51">
        <v>200000</v>
      </c>
      <c r="BX41" s="51"/>
      <c r="BY41" s="52">
        <f t="shared" si="23"/>
        <v>200000</v>
      </c>
      <c r="BZ41" s="51"/>
      <c r="CA41" s="51"/>
      <c r="CB41" s="51"/>
      <c r="CC41" s="51">
        <v>200000</v>
      </c>
      <c r="CD41" s="51"/>
      <c r="CE41" s="52">
        <f t="shared" si="24"/>
        <v>200000</v>
      </c>
      <c r="CF41" s="51"/>
      <c r="CG41" s="51"/>
      <c r="CH41" s="51"/>
      <c r="CI41" s="51">
        <v>200000</v>
      </c>
      <c r="CJ41" s="51"/>
      <c r="CK41" s="52">
        <f t="shared" si="25"/>
        <v>200000</v>
      </c>
      <c r="CL41" s="35">
        <f t="shared" si="9"/>
        <v>-925274.89</v>
      </c>
      <c r="CM41" s="35">
        <f t="shared" si="9"/>
        <v>0</v>
      </c>
      <c r="CN41" s="35">
        <f t="shared" si="9"/>
        <v>0</v>
      </c>
      <c r="CO41" s="35">
        <f t="shared" si="9"/>
        <v>2200000</v>
      </c>
      <c r="CP41" s="35">
        <f t="shared" si="9"/>
        <v>0</v>
      </c>
      <c r="CQ41" s="35">
        <f t="shared" si="9"/>
        <v>1274725.1099999999</v>
      </c>
      <c r="CR41" s="37">
        <f t="shared" si="88"/>
        <v>-925274.89</v>
      </c>
      <c r="CS41" s="39">
        <f t="shared" si="89"/>
        <v>300000</v>
      </c>
      <c r="CT41" s="53">
        <f t="shared" si="90"/>
        <v>300000</v>
      </c>
      <c r="CU41" s="39">
        <f t="shared" si="91"/>
        <v>0</v>
      </c>
      <c r="CV41" s="39">
        <f t="shared" si="92"/>
        <v>200000</v>
      </c>
      <c r="CW41" s="39">
        <f t="shared" si="93"/>
        <v>200000</v>
      </c>
      <c r="CX41" s="39">
        <f t="shared" si="94"/>
        <v>200000</v>
      </c>
      <c r="CY41" s="39">
        <f t="shared" si="95"/>
        <v>200000</v>
      </c>
      <c r="CZ41" s="39">
        <f t="shared" si="96"/>
        <v>200000</v>
      </c>
      <c r="DA41" s="39">
        <f t="shared" si="97"/>
        <v>200000</v>
      </c>
      <c r="DB41" s="39">
        <f t="shared" si="98"/>
        <v>200000</v>
      </c>
      <c r="DC41" s="39">
        <f t="shared" si="99"/>
        <v>200000</v>
      </c>
      <c r="DD41" s="39">
        <f>+HLOOKUP('Reporte Evolución Mensual'!$F$2-2,$CR$2:$DC$251, Input!$DG41, FALSE)</f>
        <v>600000</v>
      </c>
      <c r="DE41" s="39">
        <f>+HLOOKUP('Reporte Evolución Mensual'!$F$2-1,$CR$2:$DC$251, Input!$DG41, FALSE)</f>
        <v>405727.27272727271</v>
      </c>
      <c r="DF41" s="39">
        <f>+HLOOKUP('Reporte Evolución Mensual'!$F$2,$CR$2:$DC$371, Input!$DG41, FALSE)</f>
        <v>1195727.2727272727</v>
      </c>
      <c r="DG41" s="40">
        <f t="shared" si="37"/>
        <v>41</v>
      </c>
      <c r="DH41" s="39"/>
      <c r="DI41" s="37">
        <f t="shared" si="100"/>
        <v>-925274.89</v>
      </c>
      <c r="DJ41" s="37">
        <f t="shared" si="101"/>
        <v>-625274.89</v>
      </c>
      <c r="DK41" s="37">
        <f t="shared" si="101"/>
        <v>-325274.89</v>
      </c>
      <c r="DL41" s="37">
        <f t="shared" si="101"/>
        <v>-325274.89</v>
      </c>
      <c r="DM41" s="37">
        <f t="shared" si="101"/>
        <v>-125274.89000000001</v>
      </c>
      <c r="DN41" s="37">
        <f t="shared" si="101"/>
        <v>74725.109999999986</v>
      </c>
      <c r="DO41" s="37">
        <f t="shared" si="101"/>
        <v>274725.11</v>
      </c>
      <c r="DP41" s="37">
        <f t="shared" si="101"/>
        <v>474725.11</v>
      </c>
      <c r="DQ41" s="37">
        <f t="shared" si="101"/>
        <v>674725.11</v>
      </c>
      <c r="DR41" s="37">
        <f t="shared" si="101"/>
        <v>874725.11</v>
      </c>
      <c r="DS41" s="37">
        <f t="shared" si="101"/>
        <v>1074725.1099999999</v>
      </c>
      <c r="DT41" s="37">
        <f t="shared" si="101"/>
        <v>1274725.1099999999</v>
      </c>
      <c r="DU41" s="16"/>
      <c r="DV41" s="345" t="s">
        <v>163</v>
      </c>
    </row>
    <row r="42" spans="1:126" ht="15" customHeight="1" x14ac:dyDescent="0.3">
      <c r="A42" s="1" t="str">
        <f t="shared" si="0"/>
        <v>ADIFSE</v>
      </c>
      <c r="B42" s="1" t="str">
        <f t="shared" si="1"/>
        <v>ADIFSE</v>
      </c>
      <c r="C42" s="1" t="str">
        <f t="shared" si="2"/>
        <v>MAY</v>
      </c>
      <c r="D42" s="1" t="s">
        <v>163</v>
      </c>
      <c r="E42" s="59" t="str">
        <f t="shared" si="87"/>
        <v>Servicios - Publicidad y Propaganda</v>
      </c>
      <c r="F42" s="31">
        <v>36</v>
      </c>
      <c r="G42" s="1" t="s">
        <v>189</v>
      </c>
      <c r="H42" s="32" t="s">
        <v>193</v>
      </c>
      <c r="I42" s="32" t="s">
        <v>199</v>
      </c>
      <c r="J42" s="32" t="s">
        <v>166</v>
      </c>
      <c r="K42" s="51">
        <v>3104955.49</v>
      </c>
      <c r="L42" s="51">
        <v>9700000</v>
      </c>
      <c r="M42" s="51"/>
      <c r="N42" s="51"/>
      <c r="O42" s="51"/>
      <c r="P42" s="51"/>
      <c r="Q42" s="35">
        <f t="shared" si="13"/>
        <v>9700000</v>
      </c>
      <c r="R42" s="51">
        <v>301352.11</v>
      </c>
      <c r="S42" s="51"/>
      <c r="T42" s="51"/>
      <c r="U42" s="51"/>
      <c r="V42" s="51"/>
      <c r="W42" s="52">
        <f t="shared" si="14"/>
        <v>301352.11</v>
      </c>
      <c r="X42" s="51"/>
      <c r="Y42" s="51"/>
      <c r="Z42" s="51"/>
      <c r="AA42" s="51">
        <v>400000</v>
      </c>
      <c r="AB42" s="51"/>
      <c r="AC42" s="52">
        <f t="shared" si="15"/>
        <v>400000</v>
      </c>
      <c r="AD42" s="51"/>
      <c r="AE42" s="51"/>
      <c r="AF42" s="51"/>
      <c r="AG42" s="51">
        <v>600000</v>
      </c>
      <c r="AH42" s="51"/>
      <c r="AI42" s="52">
        <f t="shared" si="16"/>
        <v>600000</v>
      </c>
      <c r="AJ42" s="51">
        <v>405727.27272727271</v>
      </c>
      <c r="AK42" s="51"/>
      <c r="AL42" s="51"/>
      <c r="AM42" s="51"/>
      <c r="AN42" s="51"/>
      <c r="AO42" s="52">
        <f t="shared" si="17"/>
        <v>405727.27272727271</v>
      </c>
      <c r="AP42" s="51"/>
      <c r="AQ42" s="51"/>
      <c r="AR42" s="51"/>
      <c r="AS42" s="51">
        <v>1195727.2727272727</v>
      </c>
      <c r="AT42" s="51"/>
      <c r="AU42" s="52">
        <f t="shared" si="18"/>
        <v>1195727.2727272727</v>
      </c>
      <c r="AV42" s="51"/>
      <c r="AW42" s="51"/>
      <c r="AX42" s="51"/>
      <c r="AY42" s="51">
        <v>1474627.2727272727</v>
      </c>
      <c r="AZ42" s="51"/>
      <c r="BA42" s="52">
        <f t="shared" si="19"/>
        <v>1474627.2727272727</v>
      </c>
      <c r="BB42" s="51"/>
      <c r="BC42" s="51"/>
      <c r="BD42" s="51"/>
      <c r="BE42" s="51">
        <v>1095727.2727272727</v>
      </c>
      <c r="BF42" s="51"/>
      <c r="BG42" s="52">
        <f t="shared" si="20"/>
        <v>1095727.2727272727</v>
      </c>
      <c r="BH42" s="51"/>
      <c r="BI42" s="51"/>
      <c r="BJ42" s="51"/>
      <c r="BK42" s="51">
        <v>1095727.2727272727</v>
      </c>
      <c r="BL42" s="51"/>
      <c r="BM42" s="52">
        <f t="shared" si="21"/>
        <v>1095727.2727272727</v>
      </c>
      <c r="BN42" s="51"/>
      <c r="BO42" s="51"/>
      <c r="BP42" s="51"/>
      <c r="BQ42" s="51">
        <v>918790.27272727271</v>
      </c>
      <c r="BR42" s="51"/>
      <c r="BS42" s="52">
        <f t="shared" si="22"/>
        <v>918790.27272727271</v>
      </c>
      <c r="BT42" s="51"/>
      <c r="BU42" s="51"/>
      <c r="BV42" s="51"/>
      <c r="BW42" s="51">
        <v>918790.27272727271</v>
      </c>
      <c r="BX42" s="51"/>
      <c r="BY42" s="52">
        <f t="shared" si="23"/>
        <v>918790.27272727271</v>
      </c>
      <c r="BZ42" s="51"/>
      <c r="CA42" s="51"/>
      <c r="CB42" s="51"/>
      <c r="CC42" s="51">
        <v>918790.27272727271</v>
      </c>
      <c r="CD42" s="51"/>
      <c r="CE42" s="52">
        <f t="shared" si="24"/>
        <v>918790.27272727271</v>
      </c>
      <c r="CF42" s="51"/>
      <c r="CG42" s="51"/>
      <c r="CH42" s="51"/>
      <c r="CI42" s="51">
        <v>918790.27272727271</v>
      </c>
      <c r="CJ42" s="51"/>
      <c r="CK42" s="52">
        <f t="shared" si="25"/>
        <v>918790.27272727271</v>
      </c>
      <c r="CL42" s="35">
        <f t="shared" si="9"/>
        <v>707079.38272727269</v>
      </c>
      <c r="CM42" s="35">
        <f t="shared" si="9"/>
        <v>0</v>
      </c>
      <c r="CN42" s="35">
        <f t="shared" si="9"/>
        <v>0</v>
      </c>
      <c r="CO42" s="35">
        <f t="shared" si="9"/>
        <v>9536970.1818181816</v>
      </c>
      <c r="CP42" s="35">
        <f t="shared" si="9"/>
        <v>0</v>
      </c>
      <c r="CQ42" s="35">
        <f t="shared" si="9"/>
        <v>10244049.564545454</v>
      </c>
      <c r="CR42" s="37">
        <f t="shared" si="88"/>
        <v>301352.11</v>
      </c>
      <c r="CS42" s="39">
        <f t="shared" si="89"/>
        <v>400000</v>
      </c>
      <c r="CT42" s="53">
        <f t="shared" si="90"/>
        <v>600000</v>
      </c>
      <c r="CU42" s="39">
        <f t="shared" si="91"/>
        <v>405727.27272727271</v>
      </c>
      <c r="CV42" s="39">
        <f t="shared" si="92"/>
        <v>1195727.2727272727</v>
      </c>
      <c r="CW42" s="39">
        <f t="shared" si="93"/>
        <v>1474627.2727272727</v>
      </c>
      <c r="CX42" s="39">
        <f t="shared" si="94"/>
        <v>1095727.2727272727</v>
      </c>
      <c r="CY42" s="39">
        <f t="shared" si="95"/>
        <v>1095727.2727272727</v>
      </c>
      <c r="CZ42" s="39">
        <f t="shared" si="96"/>
        <v>918790.27272727271</v>
      </c>
      <c r="DA42" s="39">
        <f t="shared" si="97"/>
        <v>918790.27272727271</v>
      </c>
      <c r="DB42" s="39">
        <f t="shared" si="98"/>
        <v>918790.27272727271</v>
      </c>
      <c r="DC42" s="39">
        <f t="shared" si="99"/>
        <v>918790.27272727271</v>
      </c>
      <c r="DD42" s="39">
        <f>+HLOOKUP('Reporte Evolución Mensual'!$F$2-2,$CR$2:$DC$251, Input!$DG42, FALSE)</f>
        <v>300000</v>
      </c>
      <c r="DE42" s="39">
        <f>+HLOOKUP('Reporte Evolución Mensual'!$F$2-1,$CR$2:$DC$251, Input!$DG42, FALSE)</f>
        <v>58258.406999999999</v>
      </c>
      <c r="DF42" s="39">
        <f>+HLOOKUP('Reporte Evolución Mensual'!$F$2,$CR$2:$DC$371, Input!$DG42, FALSE)</f>
        <v>833958.06444444403</v>
      </c>
      <c r="DG42" s="40">
        <f t="shared" si="37"/>
        <v>42</v>
      </c>
      <c r="DH42" s="39"/>
      <c r="DI42" s="37">
        <f t="shared" si="100"/>
        <v>301352.11</v>
      </c>
      <c r="DJ42" s="37">
        <f t="shared" si="101"/>
        <v>701352.11</v>
      </c>
      <c r="DK42" s="37">
        <f t="shared" si="101"/>
        <v>1301352.1099999999</v>
      </c>
      <c r="DL42" s="37">
        <f t="shared" si="101"/>
        <v>1707079.3827272726</v>
      </c>
      <c r="DM42" s="37">
        <f t="shared" si="101"/>
        <v>2902806.6554545453</v>
      </c>
      <c r="DN42" s="37">
        <f t="shared" si="101"/>
        <v>4377433.9281818178</v>
      </c>
      <c r="DO42" s="37">
        <f t="shared" si="101"/>
        <v>5473161.2009090902</v>
      </c>
      <c r="DP42" s="37">
        <f t="shared" si="101"/>
        <v>6568888.4736363627</v>
      </c>
      <c r="DQ42" s="37">
        <f t="shared" si="101"/>
        <v>7487678.7463636352</v>
      </c>
      <c r="DR42" s="37">
        <f t="shared" si="101"/>
        <v>8406469.0190909076</v>
      </c>
      <c r="DS42" s="37">
        <f t="shared" si="101"/>
        <v>9325259.2918181811</v>
      </c>
      <c r="DT42" s="37">
        <f t="shared" si="101"/>
        <v>10244049.564545454</v>
      </c>
      <c r="DU42" s="16"/>
      <c r="DV42" s="345" t="s">
        <v>163</v>
      </c>
    </row>
    <row r="43" spans="1:126" ht="15" customHeight="1" x14ac:dyDescent="0.3">
      <c r="A43" s="1" t="str">
        <f t="shared" si="0"/>
        <v>ADIFSE</v>
      </c>
      <c r="B43" s="1" t="str">
        <f t="shared" si="1"/>
        <v>ADIFSE</v>
      </c>
      <c r="C43" s="1" t="str">
        <f t="shared" si="2"/>
        <v>MAY</v>
      </c>
      <c r="D43" s="1" t="s">
        <v>163</v>
      </c>
      <c r="E43" s="59" t="str">
        <f t="shared" si="87"/>
        <v>Servicios - Pasajes y Viáticos</v>
      </c>
      <c r="F43" s="31">
        <v>37</v>
      </c>
      <c r="G43" s="1" t="s">
        <v>189</v>
      </c>
      <c r="H43" s="32" t="s">
        <v>193</v>
      </c>
      <c r="I43" s="32" t="s">
        <v>200</v>
      </c>
      <c r="J43" s="32" t="s">
        <v>166</v>
      </c>
      <c r="K43" s="51">
        <v>4000187.32</v>
      </c>
      <c r="L43" s="51">
        <v>4000000</v>
      </c>
      <c r="M43" s="51"/>
      <c r="N43" s="51"/>
      <c r="O43" s="51"/>
      <c r="P43" s="51"/>
      <c r="Q43" s="35">
        <f t="shared" si="13"/>
        <v>4000000</v>
      </c>
      <c r="R43" s="51">
        <v>486316.5199999999</v>
      </c>
      <c r="S43" s="51"/>
      <c r="T43" s="51"/>
      <c r="U43" s="51"/>
      <c r="V43" s="51"/>
      <c r="W43" s="52">
        <f t="shared" si="14"/>
        <v>486316.5199999999</v>
      </c>
      <c r="X43" s="51"/>
      <c r="Y43" s="51"/>
      <c r="Z43" s="51"/>
      <c r="AA43" s="51">
        <v>300000</v>
      </c>
      <c r="AB43" s="51"/>
      <c r="AC43" s="52">
        <f t="shared" si="15"/>
        <v>300000</v>
      </c>
      <c r="AD43" s="51"/>
      <c r="AE43" s="51"/>
      <c r="AF43" s="51"/>
      <c r="AG43" s="51">
        <v>300000</v>
      </c>
      <c r="AH43" s="51"/>
      <c r="AI43" s="52">
        <f t="shared" si="16"/>
        <v>300000</v>
      </c>
      <c r="AJ43" s="51">
        <v>58258.406999999999</v>
      </c>
      <c r="AK43" s="51"/>
      <c r="AL43" s="51"/>
      <c r="AM43" s="51"/>
      <c r="AN43" s="51"/>
      <c r="AO43" s="52">
        <f t="shared" si="17"/>
        <v>58258.406999999999</v>
      </c>
      <c r="AP43" s="51"/>
      <c r="AQ43" s="51"/>
      <c r="AR43" s="51"/>
      <c r="AS43" s="51">
        <v>833958.06444444403</v>
      </c>
      <c r="AT43" s="51"/>
      <c r="AU43" s="52">
        <f t="shared" si="18"/>
        <v>833958.06444444403</v>
      </c>
      <c r="AV43" s="51"/>
      <c r="AW43" s="51"/>
      <c r="AX43" s="51"/>
      <c r="AY43" s="51">
        <v>753958.06444444438</v>
      </c>
      <c r="AZ43" s="51"/>
      <c r="BA43" s="52">
        <f t="shared" si="19"/>
        <v>753958.06444444438</v>
      </c>
      <c r="BB43" s="51"/>
      <c r="BC43" s="51"/>
      <c r="BD43" s="51"/>
      <c r="BE43" s="51">
        <v>843958.06444444438</v>
      </c>
      <c r="BF43" s="51"/>
      <c r="BG43" s="52">
        <f t="shared" si="20"/>
        <v>843958.06444444438</v>
      </c>
      <c r="BH43" s="51"/>
      <c r="BI43" s="51"/>
      <c r="BJ43" s="51"/>
      <c r="BK43" s="51">
        <v>843958.06444444438</v>
      </c>
      <c r="BL43" s="51"/>
      <c r="BM43" s="52">
        <f t="shared" si="21"/>
        <v>843958.06444444438</v>
      </c>
      <c r="BN43" s="51"/>
      <c r="BO43" s="51"/>
      <c r="BP43" s="51"/>
      <c r="BQ43" s="51">
        <v>842958.06444444438</v>
      </c>
      <c r="BR43" s="51"/>
      <c r="BS43" s="52">
        <f t="shared" si="22"/>
        <v>842958.06444444438</v>
      </c>
      <c r="BT43" s="51"/>
      <c r="BU43" s="51"/>
      <c r="BV43" s="51"/>
      <c r="BW43" s="51">
        <v>842958.06444444438</v>
      </c>
      <c r="BX43" s="51"/>
      <c r="BY43" s="52">
        <f t="shared" si="23"/>
        <v>842958.06444444438</v>
      </c>
      <c r="BZ43" s="51"/>
      <c r="CA43" s="51"/>
      <c r="CB43" s="51"/>
      <c r="CC43" s="51">
        <v>842958.06444444438</v>
      </c>
      <c r="CD43" s="51"/>
      <c r="CE43" s="52">
        <f t="shared" si="24"/>
        <v>842958.06444444438</v>
      </c>
      <c r="CF43" s="51"/>
      <c r="CG43" s="51"/>
      <c r="CH43" s="51"/>
      <c r="CI43" s="51">
        <v>842958.06444444438</v>
      </c>
      <c r="CJ43" s="51"/>
      <c r="CK43" s="52">
        <f t="shared" si="25"/>
        <v>842958.06444444438</v>
      </c>
      <c r="CL43" s="35">
        <f t="shared" si="9"/>
        <v>544574.92699999991</v>
      </c>
      <c r="CM43" s="35">
        <f t="shared" si="9"/>
        <v>0</v>
      </c>
      <c r="CN43" s="35">
        <f t="shared" si="9"/>
        <v>0</v>
      </c>
      <c r="CO43" s="35">
        <f t="shared" si="9"/>
        <v>7247664.5155555531</v>
      </c>
      <c r="CP43" s="35">
        <f t="shared" si="9"/>
        <v>0</v>
      </c>
      <c r="CQ43" s="35">
        <f t="shared" si="9"/>
        <v>7792239.4425555533</v>
      </c>
      <c r="CR43" s="37">
        <f t="shared" si="88"/>
        <v>486316.5199999999</v>
      </c>
      <c r="CS43" s="39">
        <f t="shared" si="89"/>
        <v>300000</v>
      </c>
      <c r="CT43" s="53">
        <f t="shared" si="90"/>
        <v>300000</v>
      </c>
      <c r="CU43" s="39">
        <f t="shared" si="91"/>
        <v>58258.406999999999</v>
      </c>
      <c r="CV43" s="39">
        <f t="shared" si="92"/>
        <v>833958.06444444403</v>
      </c>
      <c r="CW43" s="39">
        <f t="shared" si="93"/>
        <v>753958.06444444438</v>
      </c>
      <c r="CX43" s="39">
        <f t="shared" si="94"/>
        <v>843958.06444444438</v>
      </c>
      <c r="CY43" s="39">
        <f t="shared" si="95"/>
        <v>843958.06444444438</v>
      </c>
      <c r="CZ43" s="39">
        <f t="shared" si="96"/>
        <v>842958.06444444438</v>
      </c>
      <c r="DA43" s="39">
        <f t="shared" si="97"/>
        <v>842958.06444444438</v>
      </c>
      <c r="DB43" s="39">
        <f t="shared" si="98"/>
        <v>842958.06444444438</v>
      </c>
      <c r="DC43" s="39">
        <f t="shared" si="99"/>
        <v>842958.06444444438</v>
      </c>
      <c r="DD43" s="39">
        <f>+HLOOKUP('Reporte Evolución Mensual'!$F$2-2,$CR$2:$DC$251, Input!$DG43, FALSE)</f>
        <v>1100000</v>
      </c>
      <c r="DE43" s="39">
        <f>+HLOOKUP('Reporte Evolución Mensual'!$F$2-1,$CR$2:$DC$251, Input!$DG43, FALSE)</f>
        <v>300000</v>
      </c>
      <c r="DF43" s="39">
        <f>+HLOOKUP('Reporte Evolución Mensual'!$F$2,$CR$2:$DC$371, Input!$DG43, FALSE)</f>
        <v>300000</v>
      </c>
      <c r="DG43" s="40">
        <f t="shared" si="37"/>
        <v>43</v>
      </c>
      <c r="DH43" s="39"/>
      <c r="DI43" s="37">
        <f t="shared" si="100"/>
        <v>486316.5199999999</v>
      </c>
      <c r="DJ43" s="37">
        <f t="shared" si="101"/>
        <v>786316.5199999999</v>
      </c>
      <c r="DK43" s="37">
        <f t="shared" si="101"/>
        <v>1086316.52</v>
      </c>
      <c r="DL43" s="37">
        <f t="shared" si="101"/>
        <v>1144574.9269999999</v>
      </c>
      <c r="DM43" s="37">
        <f t="shared" si="101"/>
        <v>1978532.9914444438</v>
      </c>
      <c r="DN43" s="37">
        <f t="shared" si="101"/>
        <v>2732491.0558888884</v>
      </c>
      <c r="DO43" s="37">
        <f t="shared" si="101"/>
        <v>3576449.1203333326</v>
      </c>
      <c r="DP43" s="37">
        <f t="shared" si="101"/>
        <v>4420407.1847777767</v>
      </c>
      <c r="DQ43" s="37">
        <f t="shared" si="101"/>
        <v>5263365.2492222209</v>
      </c>
      <c r="DR43" s="37">
        <f t="shared" si="101"/>
        <v>6106323.313666665</v>
      </c>
      <c r="DS43" s="37">
        <f t="shared" si="101"/>
        <v>6949281.3781111091</v>
      </c>
      <c r="DT43" s="37">
        <f t="shared" si="101"/>
        <v>7792239.4425555533</v>
      </c>
      <c r="DU43" s="16"/>
      <c r="DV43" s="345" t="s">
        <v>163</v>
      </c>
    </row>
    <row r="44" spans="1:126" ht="15" customHeight="1" x14ac:dyDescent="0.3">
      <c r="A44" s="1" t="str">
        <f t="shared" si="0"/>
        <v>ADIFSE</v>
      </c>
      <c r="B44" s="1" t="str">
        <f t="shared" si="1"/>
        <v>ADIFSE</v>
      </c>
      <c r="C44" s="1" t="str">
        <f t="shared" si="2"/>
        <v>MAY</v>
      </c>
      <c r="D44" s="1" t="s">
        <v>163</v>
      </c>
      <c r="E44" s="59" t="str">
        <f t="shared" si="87"/>
        <v>Servicios - Impuestos, Derechos, Tasas y Juicios</v>
      </c>
      <c r="F44" s="31">
        <v>38</v>
      </c>
      <c r="G44" s="1" t="s">
        <v>189</v>
      </c>
      <c r="H44" s="32" t="s">
        <v>193</v>
      </c>
      <c r="I44" s="32" t="s">
        <v>201</v>
      </c>
      <c r="J44" s="32" t="s">
        <v>166</v>
      </c>
      <c r="K44" s="51">
        <v>10447650.48</v>
      </c>
      <c r="L44" s="51">
        <v>12000000</v>
      </c>
      <c r="M44" s="51"/>
      <c r="N44" s="51"/>
      <c r="O44" s="51"/>
      <c r="P44" s="51"/>
      <c r="Q44" s="35">
        <f t="shared" si="13"/>
        <v>12000000</v>
      </c>
      <c r="R44" s="51">
        <v>280903.96999999997</v>
      </c>
      <c r="S44" s="51"/>
      <c r="T44" s="51"/>
      <c r="U44" s="51"/>
      <c r="V44" s="51"/>
      <c r="W44" s="52">
        <f t="shared" si="14"/>
        <v>280903.96999999997</v>
      </c>
      <c r="X44" s="51"/>
      <c r="Y44" s="51"/>
      <c r="Z44" s="51"/>
      <c r="AA44" s="51">
        <v>500000</v>
      </c>
      <c r="AB44" s="51"/>
      <c r="AC44" s="52">
        <f t="shared" si="15"/>
        <v>500000</v>
      </c>
      <c r="AD44" s="51"/>
      <c r="AE44" s="51"/>
      <c r="AF44" s="51"/>
      <c r="AG44" s="51">
        <v>1100000</v>
      </c>
      <c r="AH44" s="51"/>
      <c r="AI44" s="52">
        <f t="shared" si="16"/>
        <v>1100000</v>
      </c>
      <c r="AJ44" s="51">
        <v>300000</v>
      </c>
      <c r="AK44" s="51"/>
      <c r="AL44" s="51"/>
      <c r="AM44" s="51"/>
      <c r="AN44" s="51"/>
      <c r="AO44" s="52">
        <f t="shared" si="17"/>
        <v>300000</v>
      </c>
      <c r="AP44" s="51"/>
      <c r="AQ44" s="51"/>
      <c r="AR44" s="51"/>
      <c r="AS44" s="51">
        <v>300000</v>
      </c>
      <c r="AT44" s="51"/>
      <c r="AU44" s="52">
        <f t="shared" si="18"/>
        <v>300000</v>
      </c>
      <c r="AV44" s="51"/>
      <c r="AW44" s="51"/>
      <c r="AX44" s="51"/>
      <c r="AY44" s="51">
        <v>300000</v>
      </c>
      <c r="AZ44" s="51"/>
      <c r="BA44" s="52">
        <f t="shared" si="19"/>
        <v>300000</v>
      </c>
      <c r="BB44" s="51">
        <v>89000</v>
      </c>
      <c r="BC44" s="51"/>
      <c r="BD44" s="51"/>
      <c r="BE44" s="51">
        <f>300000-89000</f>
        <v>211000</v>
      </c>
      <c r="BF44" s="51"/>
      <c r="BG44" s="52">
        <f t="shared" si="20"/>
        <v>300000</v>
      </c>
      <c r="BH44" s="51"/>
      <c r="BI44" s="51"/>
      <c r="BJ44" s="51"/>
      <c r="BK44" s="51">
        <f>300000</f>
        <v>300000</v>
      </c>
      <c r="BL44" s="51"/>
      <c r="BM44" s="52">
        <f t="shared" si="21"/>
        <v>300000</v>
      </c>
      <c r="BN44" s="51"/>
      <c r="BO44" s="51"/>
      <c r="BP44" s="51"/>
      <c r="BQ44" s="51">
        <v>300000</v>
      </c>
      <c r="BR44" s="51"/>
      <c r="BS44" s="52">
        <f t="shared" si="22"/>
        <v>300000</v>
      </c>
      <c r="BT44" s="51"/>
      <c r="BU44" s="51"/>
      <c r="BV44" s="51"/>
      <c r="BW44" s="51">
        <v>300000</v>
      </c>
      <c r="BX44" s="51"/>
      <c r="BY44" s="52">
        <f t="shared" si="23"/>
        <v>300000</v>
      </c>
      <c r="BZ44" s="51"/>
      <c r="CA44" s="51"/>
      <c r="CB44" s="51"/>
      <c r="CC44" s="51">
        <v>300000</v>
      </c>
      <c r="CD44" s="51"/>
      <c r="CE44" s="52">
        <f t="shared" si="24"/>
        <v>300000</v>
      </c>
      <c r="CF44" s="51"/>
      <c r="CG44" s="51"/>
      <c r="CH44" s="51"/>
      <c r="CI44" s="51">
        <v>300000</v>
      </c>
      <c r="CJ44" s="51"/>
      <c r="CK44" s="52">
        <f t="shared" si="25"/>
        <v>300000</v>
      </c>
      <c r="CL44" s="35">
        <f t="shared" si="9"/>
        <v>669903.97</v>
      </c>
      <c r="CM44" s="35">
        <f t="shared" si="9"/>
        <v>0</v>
      </c>
      <c r="CN44" s="35">
        <f t="shared" si="9"/>
        <v>0</v>
      </c>
      <c r="CO44" s="35">
        <f t="shared" si="9"/>
        <v>3911000</v>
      </c>
      <c r="CP44" s="35">
        <f t="shared" si="9"/>
        <v>0</v>
      </c>
      <c r="CQ44" s="35">
        <f t="shared" si="9"/>
        <v>4580903.97</v>
      </c>
      <c r="CR44" s="37">
        <f t="shared" si="88"/>
        <v>280903.96999999997</v>
      </c>
      <c r="CS44" s="39">
        <f t="shared" si="89"/>
        <v>500000</v>
      </c>
      <c r="CT44" s="53">
        <f t="shared" si="90"/>
        <v>1100000</v>
      </c>
      <c r="CU44" s="39">
        <f t="shared" si="91"/>
        <v>300000</v>
      </c>
      <c r="CV44" s="39">
        <f t="shared" si="92"/>
        <v>300000</v>
      </c>
      <c r="CW44" s="39">
        <f t="shared" si="93"/>
        <v>300000</v>
      </c>
      <c r="CX44" s="39">
        <f t="shared" si="94"/>
        <v>300000</v>
      </c>
      <c r="CY44" s="39">
        <f t="shared" si="95"/>
        <v>300000</v>
      </c>
      <c r="CZ44" s="39">
        <f t="shared" si="96"/>
        <v>300000</v>
      </c>
      <c r="DA44" s="39">
        <f t="shared" si="97"/>
        <v>300000</v>
      </c>
      <c r="DB44" s="39">
        <f t="shared" si="98"/>
        <v>300000</v>
      </c>
      <c r="DC44" s="39">
        <f t="shared" si="99"/>
        <v>300000</v>
      </c>
      <c r="DD44" s="39">
        <f>+HLOOKUP('Reporte Evolución Mensual'!$F$2-2,$CR$2:$DC$251, Input!$DG44, FALSE)</f>
        <v>5000000</v>
      </c>
      <c r="DE44" s="39">
        <f>+HLOOKUP('Reporte Evolución Mensual'!$F$2-1,$CR$2:$DC$251, Input!$DG44, FALSE)</f>
        <v>3106567.4813333331</v>
      </c>
      <c r="DF44" s="39">
        <f>+HLOOKUP('Reporte Evolución Mensual'!$F$2,$CR$2:$DC$371, Input!$DG44, FALSE)</f>
        <v>5766037.8257777803</v>
      </c>
      <c r="DG44" s="40">
        <f t="shared" si="37"/>
        <v>44</v>
      </c>
      <c r="DH44" s="39"/>
      <c r="DI44" s="37">
        <f t="shared" si="100"/>
        <v>280903.96999999997</v>
      </c>
      <c r="DJ44" s="37">
        <f t="shared" si="101"/>
        <v>780903.97</v>
      </c>
      <c r="DK44" s="37">
        <f t="shared" si="101"/>
        <v>1880903.97</v>
      </c>
      <c r="DL44" s="37">
        <f t="shared" si="101"/>
        <v>2180903.9699999997</v>
      </c>
      <c r="DM44" s="37">
        <f t="shared" si="101"/>
        <v>2480903.9699999997</v>
      </c>
      <c r="DN44" s="37">
        <f t="shared" si="101"/>
        <v>2780903.9699999997</v>
      </c>
      <c r="DO44" s="37">
        <f t="shared" si="101"/>
        <v>3080903.9699999997</v>
      </c>
      <c r="DP44" s="37">
        <f t="shared" si="101"/>
        <v>3380903.9699999997</v>
      </c>
      <c r="DQ44" s="37">
        <f t="shared" si="101"/>
        <v>3680903.9699999997</v>
      </c>
      <c r="DR44" s="37">
        <f t="shared" si="101"/>
        <v>3980903.9699999997</v>
      </c>
      <c r="DS44" s="37">
        <f t="shared" si="101"/>
        <v>4280903.97</v>
      </c>
      <c r="DT44" s="37">
        <f t="shared" si="101"/>
        <v>4580903.97</v>
      </c>
      <c r="DU44" s="16"/>
      <c r="DV44" s="345" t="s">
        <v>163</v>
      </c>
    </row>
    <row r="45" spans="1:126" ht="15" customHeight="1" x14ac:dyDescent="0.3">
      <c r="A45" s="1" t="str">
        <f t="shared" si="0"/>
        <v>ADIFSE</v>
      </c>
      <c r="B45" s="1" t="str">
        <f t="shared" si="1"/>
        <v>ADIFSE</v>
      </c>
      <c r="C45" s="1" t="str">
        <f t="shared" si="2"/>
        <v>MAY</v>
      </c>
      <c r="D45" s="1" t="s">
        <v>163</v>
      </c>
      <c r="E45" s="59" t="str">
        <f t="shared" si="87"/>
        <v>Servicios - Otros</v>
      </c>
      <c r="F45" s="31">
        <v>39</v>
      </c>
      <c r="G45" s="1" t="s">
        <v>189</v>
      </c>
      <c r="H45" s="32" t="s">
        <v>193</v>
      </c>
      <c r="I45" s="32" t="s">
        <v>202</v>
      </c>
      <c r="J45" s="32" t="s">
        <v>166</v>
      </c>
      <c r="K45" s="51">
        <v>13617980.923333336</v>
      </c>
      <c r="L45" s="51">
        <v>35000000</v>
      </c>
      <c r="M45" s="51"/>
      <c r="N45" s="51"/>
      <c r="O45" s="51"/>
      <c r="P45" s="51"/>
      <c r="Q45" s="35">
        <f t="shared" si="13"/>
        <v>35000000</v>
      </c>
      <c r="R45" s="51">
        <v>1210091.5199999998</v>
      </c>
      <c r="S45" s="51"/>
      <c r="T45" s="51"/>
      <c r="U45" s="51"/>
      <c r="V45" s="51"/>
      <c r="W45" s="52">
        <f t="shared" si="14"/>
        <v>1210091.5199999998</v>
      </c>
      <c r="X45" s="51"/>
      <c r="Y45" s="51"/>
      <c r="Z45" s="51"/>
      <c r="AA45" s="51">
        <v>5000000</v>
      </c>
      <c r="AB45" s="51"/>
      <c r="AC45" s="52">
        <f t="shared" si="15"/>
        <v>5000000</v>
      </c>
      <c r="AD45" s="51"/>
      <c r="AE45" s="51"/>
      <c r="AF45" s="51"/>
      <c r="AG45" s="51">
        <v>5000000</v>
      </c>
      <c r="AH45" s="51"/>
      <c r="AI45" s="52">
        <f t="shared" si="16"/>
        <v>5000000</v>
      </c>
      <c r="AJ45" s="51">
        <v>3106567.4813333331</v>
      </c>
      <c r="AK45" s="51"/>
      <c r="AL45" s="51"/>
      <c r="AM45" s="51"/>
      <c r="AN45" s="51"/>
      <c r="AO45" s="52">
        <f t="shared" si="17"/>
        <v>3106567.4813333331</v>
      </c>
      <c r="AP45" s="51">
        <v>1883018.9128888899</v>
      </c>
      <c r="AQ45" s="51"/>
      <c r="AR45" s="51"/>
      <c r="AS45" s="51">
        <v>3883018.9128888901</v>
      </c>
      <c r="AT45" s="51"/>
      <c r="AU45" s="52">
        <f t="shared" si="18"/>
        <v>5766037.8257777803</v>
      </c>
      <c r="AV45" s="51">
        <v>4508996.9128888892</v>
      </c>
      <c r="AW45" s="51"/>
      <c r="AX45" s="51"/>
      <c r="AY45" s="51">
        <f>15000000-14631000</f>
        <v>369000</v>
      </c>
      <c r="AZ45" s="51"/>
      <c r="BA45" s="52">
        <f t="shared" si="19"/>
        <v>4877996.9128888892</v>
      </c>
      <c r="BB45" s="51">
        <v>4330510.9128888892</v>
      </c>
      <c r="BC45" s="51"/>
      <c r="BD45" s="51"/>
      <c r="BE45" s="51"/>
      <c r="BF45" s="51"/>
      <c r="BG45" s="52">
        <f t="shared" si="20"/>
        <v>4330510.9128888892</v>
      </c>
      <c r="BH45" s="51"/>
      <c r="BI45" s="51"/>
      <c r="BJ45" s="51"/>
      <c r="BK45" s="51">
        <f>20000000-15089000</f>
        <v>4911000</v>
      </c>
      <c r="BL45" s="51"/>
      <c r="BM45" s="52">
        <f t="shared" si="21"/>
        <v>4911000</v>
      </c>
      <c r="BN45" s="51">
        <v>4590214.9128888892</v>
      </c>
      <c r="BO45" s="51"/>
      <c r="BP45" s="51"/>
      <c r="BQ45" s="51"/>
      <c r="BR45" s="51"/>
      <c r="BS45" s="52">
        <f t="shared" si="22"/>
        <v>4590214.9128888892</v>
      </c>
      <c r="BT45" s="51">
        <v>4590214.9128888892</v>
      </c>
      <c r="BU45" s="51"/>
      <c r="BV45" s="51"/>
      <c r="BW45" s="51"/>
      <c r="BX45" s="51"/>
      <c r="BY45" s="52">
        <f t="shared" si="23"/>
        <v>4590214.9128888892</v>
      </c>
      <c r="BZ45" s="51">
        <v>4590214.9128888892</v>
      </c>
      <c r="CA45" s="51"/>
      <c r="CB45" s="51"/>
      <c r="CC45" s="51"/>
      <c r="CD45" s="51"/>
      <c r="CE45" s="52">
        <f t="shared" si="24"/>
        <v>4590214.9128888892</v>
      </c>
      <c r="CF45" s="51">
        <v>4590214.9128888892</v>
      </c>
      <c r="CG45" s="51"/>
      <c r="CH45" s="51"/>
      <c r="CI45" s="51"/>
      <c r="CJ45" s="51"/>
      <c r="CK45" s="52">
        <f t="shared" si="25"/>
        <v>4590214.9128888892</v>
      </c>
      <c r="CL45" s="35">
        <f t="shared" si="9"/>
        <v>33400045.391555555</v>
      </c>
      <c r="CM45" s="35">
        <f t="shared" si="9"/>
        <v>0</v>
      </c>
      <c r="CN45" s="35">
        <f t="shared" si="9"/>
        <v>0</v>
      </c>
      <c r="CO45" s="35">
        <f t="shared" si="9"/>
        <v>19163018.912888892</v>
      </c>
      <c r="CP45" s="35">
        <f t="shared" si="9"/>
        <v>0</v>
      </c>
      <c r="CQ45" s="35">
        <f t="shared" si="9"/>
        <v>52563064.304444462</v>
      </c>
      <c r="CR45" s="37">
        <f t="shared" si="88"/>
        <v>1210091.5199999998</v>
      </c>
      <c r="CS45" s="39">
        <f t="shared" si="89"/>
        <v>5000000</v>
      </c>
      <c r="CT45" s="53">
        <f t="shared" si="90"/>
        <v>5000000</v>
      </c>
      <c r="CU45" s="39">
        <f t="shared" si="91"/>
        <v>3106567.4813333331</v>
      </c>
      <c r="CV45" s="39">
        <f t="shared" si="92"/>
        <v>5766037.8257777803</v>
      </c>
      <c r="CW45" s="39">
        <f t="shared" si="93"/>
        <v>4877996.9128888892</v>
      </c>
      <c r="CX45" s="39">
        <f t="shared" si="94"/>
        <v>4330510.9128888892</v>
      </c>
      <c r="CY45" s="39">
        <f t="shared" si="95"/>
        <v>4911000</v>
      </c>
      <c r="CZ45" s="39">
        <f t="shared" si="96"/>
        <v>4590214.9128888892</v>
      </c>
      <c r="DA45" s="39">
        <f t="shared" si="97"/>
        <v>4590214.9128888892</v>
      </c>
      <c r="DB45" s="39">
        <f t="shared" si="98"/>
        <v>4590214.9128888892</v>
      </c>
      <c r="DC45" s="39">
        <f t="shared" si="99"/>
        <v>4590214.9128888892</v>
      </c>
      <c r="DD45" s="39">
        <f>+HLOOKUP('Reporte Evolución Mensual'!$F$2-2,$CR$2:$DC$251, Input!$DG45, FALSE)</f>
        <v>15000000</v>
      </c>
      <c r="DE45" s="39">
        <f>+HLOOKUP('Reporte Evolución Mensual'!$F$2-1,$CR$2:$DC$251, Input!$DG45, FALSE)</f>
        <v>10950530.992434159</v>
      </c>
      <c r="DF45" s="39">
        <f>+HLOOKUP('Reporte Evolución Mensual'!$F$2,$CR$2:$DC$371, Input!$DG45, FALSE)</f>
        <v>16883383.817253683</v>
      </c>
      <c r="DG45" s="40">
        <f t="shared" si="37"/>
        <v>45</v>
      </c>
      <c r="DH45" s="39"/>
      <c r="DI45" s="37">
        <f t="shared" si="100"/>
        <v>1210091.5199999998</v>
      </c>
      <c r="DJ45" s="37">
        <f t="shared" si="101"/>
        <v>6210091.5199999996</v>
      </c>
      <c r="DK45" s="37">
        <f t="shared" si="101"/>
        <v>11210091.52</v>
      </c>
      <c r="DL45" s="37">
        <f t="shared" si="101"/>
        <v>14316659.001333334</v>
      </c>
      <c r="DM45" s="37">
        <f t="shared" si="101"/>
        <v>20082696.827111114</v>
      </c>
      <c r="DN45" s="37">
        <f t="shared" si="101"/>
        <v>24960693.740000002</v>
      </c>
      <c r="DO45" s="37">
        <f t="shared" si="101"/>
        <v>29291204.65288889</v>
      </c>
      <c r="DP45" s="37">
        <f t="shared" si="101"/>
        <v>34202204.652888894</v>
      </c>
      <c r="DQ45" s="37">
        <f t="shared" si="101"/>
        <v>38792419.565777786</v>
      </c>
      <c r="DR45" s="37">
        <f t="shared" si="101"/>
        <v>43382634.478666678</v>
      </c>
      <c r="DS45" s="37">
        <f t="shared" si="101"/>
        <v>47972849.39155557</v>
      </c>
      <c r="DT45" s="37">
        <f t="shared" si="101"/>
        <v>52563064.304444462</v>
      </c>
      <c r="DU45" s="16"/>
      <c r="DV45" s="345" t="s">
        <v>163</v>
      </c>
    </row>
    <row r="46" spans="1:126" ht="15" customHeight="1" x14ac:dyDescent="0.3">
      <c r="A46" s="1" t="str">
        <f t="shared" si="0"/>
        <v>ADIFSE</v>
      </c>
      <c r="B46" s="1" t="str">
        <f t="shared" si="1"/>
        <v>ADIFSE</v>
      </c>
      <c r="C46" s="1" t="str">
        <f t="shared" si="2"/>
        <v>MAY</v>
      </c>
      <c r="D46" s="1" t="s">
        <v>108</v>
      </c>
      <c r="E46" s="65" t="str">
        <f t="shared" si="87"/>
        <v>Servicios - Total</v>
      </c>
      <c r="F46" s="62">
        <v>3</v>
      </c>
      <c r="G46" s="16" t="s">
        <v>189</v>
      </c>
      <c r="H46" s="7" t="s">
        <v>193</v>
      </c>
      <c r="I46" s="7" t="s">
        <v>173</v>
      </c>
      <c r="J46" s="7" t="s">
        <v>166</v>
      </c>
      <c r="K46" s="66">
        <f>SUM(K37:K45)</f>
        <v>103472755.40333332</v>
      </c>
      <c r="L46" s="66">
        <f t="shared" ref="L46:Q46" si="102">SUM(L37:L45)</f>
        <v>153100000</v>
      </c>
      <c r="M46" s="66">
        <f t="shared" si="102"/>
        <v>0</v>
      </c>
      <c r="N46" s="66">
        <f t="shared" si="102"/>
        <v>0</v>
      </c>
      <c r="O46" s="66">
        <f t="shared" si="102"/>
        <v>0</v>
      </c>
      <c r="P46" s="66">
        <f t="shared" si="102"/>
        <v>0</v>
      </c>
      <c r="Q46" s="67">
        <f t="shared" si="102"/>
        <v>153100000</v>
      </c>
      <c r="R46" s="66">
        <f t="shared" ref="R46:AW46" si="103">SUM(R37:R45)</f>
        <v>7142021.5699999994</v>
      </c>
      <c r="S46" s="66">
        <f t="shared" si="103"/>
        <v>0</v>
      </c>
      <c r="T46" s="66">
        <f t="shared" si="103"/>
        <v>0</v>
      </c>
      <c r="U46" s="66">
        <f t="shared" si="103"/>
        <v>0</v>
      </c>
      <c r="V46" s="66">
        <f t="shared" si="103"/>
        <v>0</v>
      </c>
      <c r="W46" s="68">
        <f t="shared" si="103"/>
        <v>7142021.5699999994</v>
      </c>
      <c r="X46" s="66">
        <f t="shared" si="103"/>
        <v>0</v>
      </c>
      <c r="Y46" s="66">
        <f t="shared" si="103"/>
        <v>0</v>
      </c>
      <c r="Z46" s="66">
        <f t="shared" si="103"/>
        <v>0</v>
      </c>
      <c r="AA46" s="66">
        <f t="shared" si="103"/>
        <v>13450000</v>
      </c>
      <c r="AB46" s="66">
        <f t="shared" si="103"/>
        <v>0</v>
      </c>
      <c r="AC46" s="68">
        <f t="shared" si="103"/>
        <v>13450000</v>
      </c>
      <c r="AD46" s="66">
        <f t="shared" si="103"/>
        <v>0</v>
      </c>
      <c r="AE46" s="66">
        <f t="shared" si="103"/>
        <v>0</v>
      </c>
      <c r="AF46" s="66">
        <f t="shared" si="103"/>
        <v>0</v>
      </c>
      <c r="AG46" s="66">
        <f t="shared" si="103"/>
        <v>15000000</v>
      </c>
      <c r="AH46" s="66">
        <f t="shared" si="103"/>
        <v>0</v>
      </c>
      <c r="AI46" s="68">
        <f t="shared" si="103"/>
        <v>15000000</v>
      </c>
      <c r="AJ46" s="66">
        <f t="shared" si="103"/>
        <v>10950530.992434159</v>
      </c>
      <c r="AK46" s="66">
        <f t="shared" si="103"/>
        <v>0</v>
      </c>
      <c r="AL46" s="66">
        <f t="shared" si="103"/>
        <v>0</v>
      </c>
      <c r="AM46" s="66">
        <f t="shared" si="103"/>
        <v>0</v>
      </c>
      <c r="AN46" s="66">
        <f t="shared" si="103"/>
        <v>0</v>
      </c>
      <c r="AO46" s="68">
        <f t="shared" si="103"/>
        <v>10950530.992434159</v>
      </c>
      <c r="AP46" s="66">
        <f t="shared" si="103"/>
        <v>1883018.9128888899</v>
      </c>
      <c r="AQ46" s="66">
        <f t="shared" si="103"/>
        <v>0</v>
      </c>
      <c r="AR46" s="66">
        <f t="shared" si="103"/>
        <v>0</v>
      </c>
      <c r="AS46" s="66">
        <f t="shared" si="103"/>
        <v>15000364.904364793</v>
      </c>
      <c r="AT46" s="66">
        <f t="shared" si="103"/>
        <v>0</v>
      </c>
      <c r="AU46" s="68">
        <f t="shared" si="103"/>
        <v>16883383.817253683</v>
      </c>
      <c r="AV46" s="66">
        <f t="shared" si="103"/>
        <v>4508996.9128888892</v>
      </c>
      <c r="AW46" s="66">
        <f t="shared" si="103"/>
        <v>0</v>
      </c>
      <c r="AX46" s="66">
        <f t="shared" ref="AX46:BW46" si="104">SUM(AX37:AX45)</f>
        <v>0</v>
      </c>
      <c r="AY46" s="66">
        <f t="shared" si="104"/>
        <v>14999591.99147591</v>
      </c>
      <c r="AZ46" s="66">
        <f t="shared" si="104"/>
        <v>0</v>
      </c>
      <c r="BA46" s="68">
        <f t="shared" si="104"/>
        <v>19508588.904364798</v>
      </c>
      <c r="BB46" s="66">
        <f t="shared" si="104"/>
        <v>4419510.9128888892</v>
      </c>
      <c r="BC46" s="66">
        <f t="shared" si="104"/>
        <v>0</v>
      </c>
      <c r="BD46" s="66">
        <f t="shared" si="104"/>
        <v>0</v>
      </c>
      <c r="BE46" s="66">
        <f t="shared" si="104"/>
        <v>15000291.991475906</v>
      </c>
      <c r="BF46" s="66">
        <f t="shared" si="104"/>
        <v>0</v>
      </c>
      <c r="BG46" s="68">
        <f t="shared" si="104"/>
        <v>19419802.904364794</v>
      </c>
      <c r="BH46" s="66">
        <f t="shared" si="104"/>
        <v>0</v>
      </c>
      <c r="BI46" s="66">
        <f t="shared" si="104"/>
        <v>0</v>
      </c>
      <c r="BJ46" s="66">
        <f t="shared" si="104"/>
        <v>0</v>
      </c>
      <c r="BK46" s="66">
        <f t="shared" si="104"/>
        <v>20000291.991475906</v>
      </c>
      <c r="BL46" s="66">
        <f t="shared" si="104"/>
        <v>0</v>
      </c>
      <c r="BM46" s="68">
        <f t="shared" si="104"/>
        <v>20000291.991475906</v>
      </c>
      <c r="BN46" s="66">
        <f t="shared" si="104"/>
        <v>7176214.9128888892</v>
      </c>
      <c r="BO46" s="66">
        <f t="shared" si="104"/>
        <v>0</v>
      </c>
      <c r="BP46" s="66">
        <f t="shared" si="104"/>
        <v>0</v>
      </c>
      <c r="BQ46" s="66">
        <f t="shared" si="104"/>
        <v>15000262.811475908</v>
      </c>
      <c r="BR46" s="66">
        <f t="shared" si="104"/>
        <v>0</v>
      </c>
      <c r="BS46" s="68">
        <f t="shared" si="104"/>
        <v>22176477.724364795</v>
      </c>
      <c r="BT46" s="66">
        <f t="shared" si="104"/>
        <v>7176214.9128888892</v>
      </c>
      <c r="BU46" s="66">
        <f t="shared" si="104"/>
        <v>0</v>
      </c>
      <c r="BV46" s="66">
        <f t="shared" si="104"/>
        <v>0</v>
      </c>
      <c r="BW46" s="66">
        <f t="shared" si="104"/>
        <v>15000262.811475908</v>
      </c>
      <c r="BX46" s="66">
        <f t="shared" ref="BX46:CK46" si="105">SUM(BX37:BX45)</f>
        <v>0</v>
      </c>
      <c r="BY46" s="68">
        <f t="shared" si="105"/>
        <v>22176477.724364795</v>
      </c>
      <c r="BZ46" s="66">
        <f t="shared" si="105"/>
        <v>7176214.9128888892</v>
      </c>
      <c r="CA46" s="66">
        <f t="shared" si="105"/>
        <v>0</v>
      </c>
      <c r="CB46" s="66">
        <f t="shared" si="105"/>
        <v>0</v>
      </c>
      <c r="CC46" s="66">
        <f t="shared" si="105"/>
        <v>15000262.811475908</v>
      </c>
      <c r="CD46" s="66">
        <f t="shared" si="105"/>
        <v>0</v>
      </c>
      <c r="CE46" s="68">
        <f t="shared" si="105"/>
        <v>22176477.724364795</v>
      </c>
      <c r="CF46" s="66">
        <f t="shared" si="105"/>
        <v>7176214.9128888892</v>
      </c>
      <c r="CG46" s="66">
        <f t="shared" si="105"/>
        <v>0</v>
      </c>
      <c r="CH46" s="66">
        <f t="shared" si="105"/>
        <v>0</v>
      </c>
      <c r="CI46" s="66">
        <f t="shared" si="105"/>
        <v>15000262.811475908</v>
      </c>
      <c r="CJ46" s="66">
        <f t="shared" si="105"/>
        <v>0</v>
      </c>
      <c r="CK46" s="68">
        <f t="shared" si="105"/>
        <v>22176477.724364795</v>
      </c>
      <c r="CL46" s="67">
        <f t="shared" si="9"/>
        <v>57608938.952656388</v>
      </c>
      <c r="CM46" s="67">
        <f t="shared" si="9"/>
        <v>0</v>
      </c>
      <c r="CN46" s="67">
        <f t="shared" si="9"/>
        <v>0</v>
      </c>
      <c r="CO46" s="67">
        <f t="shared" si="9"/>
        <v>153451592.12469614</v>
      </c>
      <c r="CP46" s="67">
        <f t="shared" si="9"/>
        <v>0</v>
      </c>
      <c r="CQ46" s="67">
        <f t="shared" si="9"/>
        <v>211060531.07735249</v>
      </c>
      <c r="CR46" s="37">
        <f t="shared" si="88"/>
        <v>7142021.5699999994</v>
      </c>
      <c r="CS46" s="39">
        <f t="shared" si="89"/>
        <v>13450000</v>
      </c>
      <c r="CT46" s="53">
        <f t="shared" si="90"/>
        <v>15000000</v>
      </c>
      <c r="CU46" s="39">
        <f t="shared" si="91"/>
        <v>10950530.992434159</v>
      </c>
      <c r="CV46" s="39">
        <f t="shared" si="92"/>
        <v>16883383.817253683</v>
      </c>
      <c r="CW46" s="39">
        <f t="shared" si="93"/>
        <v>19508588.904364798</v>
      </c>
      <c r="CX46" s="39">
        <f t="shared" si="94"/>
        <v>19419802.904364794</v>
      </c>
      <c r="CY46" s="39">
        <f t="shared" si="95"/>
        <v>20000291.991475906</v>
      </c>
      <c r="CZ46" s="39">
        <f t="shared" si="96"/>
        <v>22176477.724364795</v>
      </c>
      <c r="DA46" s="39">
        <f t="shared" si="97"/>
        <v>22176477.724364795</v>
      </c>
      <c r="DB46" s="39">
        <f t="shared" si="98"/>
        <v>22176477.724364795</v>
      </c>
      <c r="DC46" s="39">
        <f t="shared" si="99"/>
        <v>22176477.724364795</v>
      </c>
      <c r="DD46" s="39">
        <f>+HLOOKUP('Reporte Evolución Mensual'!$F$2-2,$CR$2:$DC$251, Input!$DG46, FALSE)</f>
        <v>0</v>
      </c>
      <c r="DE46" s="39">
        <f>+HLOOKUP('Reporte Evolución Mensual'!$F$2-1,$CR$2:$DC$251, Input!$DG46, FALSE)</f>
        <v>0</v>
      </c>
      <c r="DF46" s="39">
        <f>+HLOOKUP('Reporte Evolución Mensual'!$F$2,$CR$2:$DC$371, Input!$DG46, FALSE)</f>
        <v>0</v>
      </c>
      <c r="DG46" s="40">
        <f t="shared" si="37"/>
        <v>46</v>
      </c>
      <c r="DH46" s="39"/>
      <c r="DI46" s="37">
        <f t="shared" si="100"/>
        <v>7142021.5699999994</v>
      </c>
      <c r="DJ46" s="37">
        <f t="shared" si="101"/>
        <v>20592021.57</v>
      </c>
      <c r="DK46" s="37">
        <f t="shared" si="101"/>
        <v>35592021.57</v>
      </c>
      <c r="DL46" s="37">
        <f t="shared" si="101"/>
        <v>46542552.562434159</v>
      </c>
      <c r="DM46" s="37">
        <f t="shared" si="101"/>
        <v>63425936.379687846</v>
      </c>
      <c r="DN46" s="37">
        <f t="shared" si="101"/>
        <v>82934525.28405264</v>
      </c>
      <c r="DO46" s="37">
        <f t="shared" si="101"/>
        <v>102354328.18841743</v>
      </c>
      <c r="DP46" s="37">
        <f t="shared" si="101"/>
        <v>122354620.17989334</v>
      </c>
      <c r="DQ46" s="37">
        <f t="shared" si="101"/>
        <v>144531097.90425813</v>
      </c>
      <c r="DR46" s="37">
        <f t="shared" si="101"/>
        <v>166707575.62862292</v>
      </c>
      <c r="DS46" s="37">
        <f t="shared" si="101"/>
        <v>188884053.35298771</v>
      </c>
      <c r="DT46" s="37">
        <f t="shared" si="101"/>
        <v>211060531.07735249</v>
      </c>
      <c r="DU46" s="16"/>
      <c r="DV46" s="345"/>
    </row>
    <row r="47" spans="1:126" ht="15" customHeight="1" x14ac:dyDescent="0.3">
      <c r="A47" s="1" t="str">
        <f t="shared" si="0"/>
        <v>ADIFSE</v>
      </c>
      <c r="B47" s="1" t="str">
        <f t="shared" si="1"/>
        <v>ADIFSE</v>
      </c>
      <c r="C47" s="1" t="str">
        <f t="shared" si="2"/>
        <v>MAY</v>
      </c>
      <c r="D47" s="1" t="s">
        <v>108</v>
      </c>
      <c r="E47" s="69" t="s">
        <v>333</v>
      </c>
      <c r="F47" s="62"/>
      <c r="G47" s="16"/>
      <c r="H47" s="7"/>
      <c r="I47" s="7"/>
      <c r="J47" s="7"/>
      <c r="K47" s="66"/>
      <c r="L47" s="66"/>
      <c r="M47" s="66"/>
      <c r="N47" s="66"/>
      <c r="O47" s="66"/>
      <c r="P47" s="66"/>
      <c r="Q47" s="67"/>
      <c r="R47" s="66"/>
      <c r="S47" s="66"/>
      <c r="T47" s="66"/>
      <c r="U47" s="66"/>
      <c r="V47" s="66"/>
      <c r="W47" s="68"/>
      <c r="X47" s="66"/>
      <c r="Y47" s="66"/>
      <c r="Z47" s="66"/>
      <c r="AA47" s="66"/>
      <c r="AB47" s="66"/>
      <c r="AC47" s="68"/>
      <c r="AD47" s="66"/>
      <c r="AE47" s="66"/>
      <c r="AF47" s="66"/>
      <c r="AG47" s="66"/>
      <c r="AH47" s="66"/>
      <c r="AI47" s="68"/>
      <c r="AJ47" s="66"/>
      <c r="AK47" s="66"/>
      <c r="AL47" s="66"/>
      <c r="AM47" s="66"/>
      <c r="AN47" s="66"/>
      <c r="AO47" s="68"/>
      <c r="AP47" s="66"/>
      <c r="AQ47" s="66"/>
      <c r="AR47" s="66"/>
      <c r="AS47" s="66"/>
      <c r="AT47" s="66"/>
      <c r="AU47" s="68"/>
      <c r="AV47" s="66"/>
      <c r="AW47" s="66"/>
      <c r="AX47" s="66"/>
      <c r="AY47" s="66"/>
      <c r="AZ47" s="66"/>
      <c r="BA47" s="68"/>
      <c r="BB47" s="66"/>
      <c r="BC47" s="66"/>
      <c r="BD47" s="66"/>
      <c r="BE47" s="66"/>
      <c r="BF47" s="66"/>
      <c r="BG47" s="68"/>
      <c r="BH47" s="66"/>
      <c r="BI47" s="66"/>
      <c r="BJ47" s="66"/>
      <c r="BK47" s="66"/>
      <c r="BL47" s="66"/>
      <c r="BM47" s="68"/>
      <c r="BN47" s="66"/>
      <c r="BO47" s="66"/>
      <c r="BP47" s="66"/>
      <c r="BQ47" s="66"/>
      <c r="BR47" s="66"/>
      <c r="BS47" s="68"/>
      <c r="BT47" s="66"/>
      <c r="BU47" s="66"/>
      <c r="BV47" s="66"/>
      <c r="BW47" s="66"/>
      <c r="BX47" s="66"/>
      <c r="BY47" s="68"/>
      <c r="BZ47" s="66"/>
      <c r="CA47" s="66"/>
      <c r="CB47" s="66"/>
      <c r="CC47" s="66"/>
      <c r="CD47" s="66"/>
      <c r="CE47" s="68"/>
      <c r="CF47" s="66"/>
      <c r="CG47" s="66"/>
      <c r="CH47" s="66"/>
      <c r="CI47" s="66"/>
      <c r="CJ47" s="66"/>
      <c r="CK47" s="68"/>
      <c r="CL47" s="67"/>
      <c r="CM47" s="67"/>
      <c r="CN47" s="67"/>
      <c r="CO47" s="67"/>
      <c r="CP47" s="67"/>
      <c r="CQ47" s="67"/>
      <c r="CR47" s="37"/>
      <c r="CS47" s="39"/>
      <c r="CT47" s="53"/>
      <c r="CU47" s="39"/>
      <c r="CV47" s="39"/>
      <c r="CW47" s="39"/>
      <c r="CX47" s="39"/>
      <c r="CY47" s="39"/>
      <c r="CZ47" s="39"/>
      <c r="DA47" s="39"/>
      <c r="DB47" s="39"/>
      <c r="DC47" s="39"/>
      <c r="DD47" s="39">
        <f>+HLOOKUP('Reporte Evolución Mensual'!$F$2-2,$CR$2:$DC$251, Input!$DG47, FALSE)</f>
        <v>0</v>
      </c>
      <c r="DE47" s="39">
        <f>+HLOOKUP('Reporte Evolución Mensual'!$F$2-1,$CR$2:$DC$251, Input!$DG47, FALSE)</f>
        <v>0</v>
      </c>
      <c r="DF47" s="39">
        <f>+HLOOKUP('Reporte Evolución Mensual'!$F$2,$CR$2:$DC$371, Input!$DG47, FALSE)</f>
        <v>0</v>
      </c>
      <c r="DG47" s="40">
        <f t="shared" si="37"/>
        <v>47</v>
      </c>
      <c r="DH47" s="39"/>
      <c r="DI47" s="39"/>
      <c r="DJ47" s="39"/>
      <c r="DK47" s="39"/>
      <c r="DL47" s="39"/>
      <c r="DM47" s="39"/>
      <c r="DN47" s="39"/>
      <c r="DO47" s="58"/>
      <c r="DP47" s="58"/>
      <c r="DQ47" s="58"/>
      <c r="DR47" s="58"/>
      <c r="DS47" s="1"/>
      <c r="DT47" s="1"/>
      <c r="DU47" s="16"/>
      <c r="DV47" s="345"/>
    </row>
    <row r="48" spans="1:126" ht="15" customHeight="1" x14ac:dyDescent="0.3">
      <c r="A48" s="1" t="str">
        <f t="shared" si="0"/>
        <v>ADIFSE</v>
      </c>
      <c r="B48" s="1" t="str">
        <f t="shared" si="1"/>
        <v>ADIFSE</v>
      </c>
      <c r="C48" s="1" t="str">
        <f t="shared" si="2"/>
        <v>MAY</v>
      </c>
      <c r="D48" s="1" t="s">
        <v>108</v>
      </c>
      <c r="E48" s="64" t="s">
        <v>203</v>
      </c>
      <c r="F48" s="62"/>
      <c r="G48" s="16"/>
      <c r="H48" s="7"/>
      <c r="I48" s="7"/>
      <c r="J48" s="7"/>
      <c r="K48" s="66"/>
      <c r="L48" s="66"/>
      <c r="M48" s="66"/>
      <c r="N48" s="66"/>
      <c r="O48" s="66"/>
      <c r="P48" s="66"/>
      <c r="Q48" s="67"/>
      <c r="R48" s="66"/>
      <c r="S48" s="66"/>
      <c r="T48" s="66"/>
      <c r="U48" s="66"/>
      <c r="V48" s="66"/>
      <c r="W48" s="68"/>
      <c r="X48" s="66"/>
      <c r="Y48" s="66"/>
      <c r="Z48" s="66"/>
      <c r="AA48" s="66"/>
      <c r="AB48" s="66"/>
      <c r="AC48" s="68"/>
      <c r="AD48" s="66"/>
      <c r="AE48" s="66"/>
      <c r="AF48" s="66"/>
      <c r="AG48" s="66"/>
      <c r="AH48" s="66"/>
      <c r="AI48" s="68"/>
      <c r="AJ48" s="66"/>
      <c r="AK48" s="66"/>
      <c r="AL48" s="66"/>
      <c r="AM48" s="66"/>
      <c r="AN48" s="66"/>
      <c r="AO48" s="68"/>
      <c r="AP48" s="66"/>
      <c r="AQ48" s="66"/>
      <c r="AR48" s="66"/>
      <c r="AS48" s="66"/>
      <c r="AT48" s="66"/>
      <c r="AU48" s="68"/>
      <c r="AV48" s="66"/>
      <c r="AW48" s="66"/>
      <c r="AX48" s="66"/>
      <c r="AY48" s="66"/>
      <c r="AZ48" s="66"/>
      <c r="BA48" s="68"/>
      <c r="BB48" s="66"/>
      <c r="BC48" s="66"/>
      <c r="BD48" s="66"/>
      <c r="BE48" s="66"/>
      <c r="BF48" s="66"/>
      <c r="BG48" s="68"/>
      <c r="BH48" s="66"/>
      <c r="BI48" s="66"/>
      <c r="BJ48" s="66"/>
      <c r="BK48" s="66"/>
      <c r="BL48" s="66"/>
      <c r="BM48" s="68"/>
      <c r="BN48" s="66"/>
      <c r="BO48" s="66"/>
      <c r="BP48" s="66"/>
      <c r="BQ48" s="66"/>
      <c r="BR48" s="66"/>
      <c r="BS48" s="68"/>
      <c r="BT48" s="66"/>
      <c r="BU48" s="66"/>
      <c r="BV48" s="66"/>
      <c r="BW48" s="66"/>
      <c r="BX48" s="66"/>
      <c r="BY48" s="68"/>
      <c r="BZ48" s="66"/>
      <c r="CA48" s="66"/>
      <c r="CB48" s="66"/>
      <c r="CC48" s="66"/>
      <c r="CD48" s="66"/>
      <c r="CE48" s="68"/>
      <c r="CF48" s="66"/>
      <c r="CG48" s="66"/>
      <c r="CH48" s="66"/>
      <c r="CI48" s="66"/>
      <c r="CJ48" s="66"/>
      <c r="CK48" s="68"/>
      <c r="CL48" s="67"/>
      <c r="CM48" s="67"/>
      <c r="CN48" s="67"/>
      <c r="CO48" s="67"/>
      <c r="CP48" s="67"/>
      <c r="CQ48" s="67"/>
      <c r="CR48" s="37"/>
      <c r="CS48" s="39"/>
      <c r="CT48" s="53"/>
      <c r="CU48" s="39"/>
      <c r="CV48" s="39"/>
      <c r="CW48" s="39"/>
      <c r="CX48" s="39"/>
      <c r="CY48" s="39"/>
      <c r="CZ48" s="39"/>
      <c r="DA48" s="39"/>
      <c r="DB48" s="39"/>
      <c r="DC48" s="39"/>
      <c r="DD48" s="39">
        <f>+HLOOKUP('Reporte Evolución Mensual'!$F$2-2,$CR$2:$DC$251, Input!$DG48, FALSE)</f>
        <v>0</v>
      </c>
      <c r="DE48" s="39">
        <f>+HLOOKUP('Reporte Evolución Mensual'!$F$2-1,$CR$2:$DC$251, Input!$DG48, FALSE)</f>
        <v>0</v>
      </c>
      <c r="DF48" s="39">
        <f>+HLOOKUP('Reporte Evolución Mensual'!$F$2,$CR$2:$DC$371, Input!$DG48, FALSE)</f>
        <v>0</v>
      </c>
      <c r="DG48" s="40">
        <f t="shared" si="37"/>
        <v>48</v>
      </c>
      <c r="DH48" s="39"/>
      <c r="DI48" s="39"/>
      <c r="DJ48" s="39"/>
      <c r="DK48" s="39"/>
      <c r="DL48" s="39"/>
      <c r="DM48" s="39"/>
      <c r="DN48" s="39"/>
      <c r="DO48" s="58"/>
      <c r="DP48" s="58"/>
      <c r="DQ48" s="58"/>
      <c r="DR48" s="58"/>
      <c r="DS48" s="1"/>
      <c r="DT48" s="1"/>
      <c r="DU48" s="16"/>
      <c r="DV48" s="345"/>
    </row>
    <row r="49" spans="1:126" ht="15" customHeight="1" x14ac:dyDescent="0.3">
      <c r="A49" s="1" t="str">
        <f t="shared" si="0"/>
        <v>ADIFSE</v>
      </c>
      <c r="B49" s="1" t="str">
        <f t="shared" si="1"/>
        <v>ADIFSE</v>
      </c>
      <c r="C49" s="1" t="str">
        <f t="shared" si="2"/>
        <v>MAY</v>
      </c>
      <c r="D49" s="16" t="s">
        <v>163</v>
      </c>
      <c r="E49" s="69" t="str">
        <f t="shared" si="87"/>
        <v>Transferencias al Sector Privado - Aerolíneas Argentinas</v>
      </c>
      <c r="F49" s="62" t="s">
        <v>204</v>
      </c>
      <c r="G49" s="16" t="s">
        <v>189</v>
      </c>
      <c r="H49" s="7" t="s">
        <v>205</v>
      </c>
      <c r="I49" s="7" t="s">
        <v>206</v>
      </c>
      <c r="J49" s="7" t="s">
        <v>166</v>
      </c>
      <c r="K49" s="51"/>
      <c r="L49" s="51"/>
      <c r="M49" s="51"/>
      <c r="N49" s="51"/>
      <c r="O49" s="51"/>
      <c r="P49" s="51"/>
      <c r="Q49" s="35">
        <f t="shared" si="13"/>
        <v>0</v>
      </c>
      <c r="R49" s="51"/>
      <c r="S49" s="51"/>
      <c r="T49" s="51"/>
      <c r="U49" s="51"/>
      <c r="V49" s="51"/>
      <c r="W49" s="52">
        <f t="shared" si="14"/>
        <v>0</v>
      </c>
      <c r="X49" s="51"/>
      <c r="Y49" s="51"/>
      <c r="Z49" s="51"/>
      <c r="AA49" s="51"/>
      <c r="AB49" s="51"/>
      <c r="AC49" s="52">
        <f t="shared" si="15"/>
        <v>0</v>
      </c>
      <c r="AD49" s="51"/>
      <c r="AE49" s="51"/>
      <c r="AF49" s="51"/>
      <c r="AG49" s="51"/>
      <c r="AH49" s="51"/>
      <c r="AI49" s="52">
        <f t="shared" si="16"/>
        <v>0</v>
      </c>
      <c r="AJ49" s="51"/>
      <c r="AK49" s="51"/>
      <c r="AL49" s="51"/>
      <c r="AM49" s="51"/>
      <c r="AN49" s="51"/>
      <c r="AO49" s="52">
        <f t="shared" si="17"/>
        <v>0</v>
      </c>
      <c r="AP49" s="51"/>
      <c r="AQ49" s="51"/>
      <c r="AR49" s="51"/>
      <c r="AS49" s="51"/>
      <c r="AT49" s="51"/>
      <c r="AU49" s="52">
        <f t="shared" si="18"/>
        <v>0</v>
      </c>
      <c r="AV49" s="51"/>
      <c r="AW49" s="51"/>
      <c r="AX49" s="51"/>
      <c r="AY49" s="51"/>
      <c r="AZ49" s="51"/>
      <c r="BA49" s="52">
        <f t="shared" si="19"/>
        <v>0</v>
      </c>
      <c r="BB49" s="51"/>
      <c r="BC49" s="51"/>
      <c r="BD49" s="51"/>
      <c r="BE49" s="51"/>
      <c r="BF49" s="51"/>
      <c r="BG49" s="52">
        <f t="shared" si="20"/>
        <v>0</v>
      </c>
      <c r="BH49" s="51"/>
      <c r="BI49" s="51"/>
      <c r="BJ49" s="51"/>
      <c r="BK49" s="51"/>
      <c r="BL49" s="51"/>
      <c r="BM49" s="52">
        <f t="shared" si="21"/>
        <v>0</v>
      </c>
      <c r="BN49" s="51"/>
      <c r="BO49" s="51"/>
      <c r="BP49" s="51"/>
      <c r="BQ49" s="51"/>
      <c r="BR49" s="51"/>
      <c r="BS49" s="52">
        <f t="shared" si="22"/>
        <v>0</v>
      </c>
      <c r="BT49" s="51"/>
      <c r="BU49" s="51"/>
      <c r="BV49" s="51"/>
      <c r="BW49" s="51"/>
      <c r="BX49" s="51"/>
      <c r="BY49" s="52">
        <f t="shared" si="23"/>
        <v>0</v>
      </c>
      <c r="BZ49" s="51"/>
      <c r="CA49" s="51"/>
      <c r="CB49" s="51"/>
      <c r="CC49" s="51"/>
      <c r="CD49" s="51"/>
      <c r="CE49" s="52">
        <f t="shared" si="24"/>
        <v>0</v>
      </c>
      <c r="CF49" s="51"/>
      <c r="CG49" s="51"/>
      <c r="CH49" s="51"/>
      <c r="CI49" s="51"/>
      <c r="CJ49" s="51"/>
      <c r="CK49" s="52">
        <f t="shared" si="25"/>
        <v>0</v>
      </c>
      <c r="CL49" s="35">
        <f t="shared" si="9"/>
        <v>0</v>
      </c>
      <c r="CM49" s="35">
        <f t="shared" si="9"/>
        <v>0</v>
      </c>
      <c r="CN49" s="35">
        <f t="shared" si="9"/>
        <v>0</v>
      </c>
      <c r="CO49" s="35">
        <f t="shared" si="9"/>
        <v>0</v>
      </c>
      <c r="CP49" s="35">
        <f t="shared" si="9"/>
        <v>0</v>
      </c>
      <c r="CQ49" s="35">
        <f t="shared" si="9"/>
        <v>0</v>
      </c>
      <c r="CR49" s="37">
        <f t="shared" si="88"/>
        <v>0</v>
      </c>
      <c r="CS49" s="39">
        <f t="shared" si="89"/>
        <v>0</v>
      </c>
      <c r="CT49" s="53">
        <f t="shared" si="90"/>
        <v>0</v>
      </c>
      <c r="CU49" s="39">
        <f t="shared" si="91"/>
        <v>0</v>
      </c>
      <c r="CV49" s="39">
        <f t="shared" si="92"/>
        <v>0</v>
      </c>
      <c r="CW49" s="39">
        <f t="shared" si="93"/>
        <v>0</v>
      </c>
      <c r="CX49" s="39">
        <f t="shared" si="94"/>
        <v>0</v>
      </c>
      <c r="CY49" s="39">
        <f t="shared" si="95"/>
        <v>0</v>
      </c>
      <c r="CZ49" s="39">
        <f t="shared" si="96"/>
        <v>0</v>
      </c>
      <c r="DA49" s="39">
        <f t="shared" si="97"/>
        <v>0</v>
      </c>
      <c r="DB49" s="39">
        <f t="shared" si="98"/>
        <v>0</v>
      </c>
      <c r="DC49" s="39">
        <f t="shared" si="99"/>
        <v>0</v>
      </c>
      <c r="DD49" s="39">
        <f>+HLOOKUP('Reporte Evolución Mensual'!$F$2-2,$CR$2:$DC$251, Input!$DG49, FALSE)</f>
        <v>0</v>
      </c>
      <c r="DE49" s="39">
        <f>+HLOOKUP('Reporte Evolución Mensual'!$F$2-1,$CR$2:$DC$251, Input!$DG49, FALSE)</f>
        <v>0</v>
      </c>
      <c r="DF49" s="39">
        <f>+HLOOKUP('Reporte Evolución Mensual'!$F$2,$CR$2:$DC$371, Input!$DG49, FALSE)</f>
        <v>0</v>
      </c>
      <c r="DG49" s="40">
        <f t="shared" si="37"/>
        <v>49</v>
      </c>
      <c r="DH49" s="39"/>
      <c r="DI49" s="37">
        <f t="shared" ref="DI49:DI59" si="106">+CR49</f>
        <v>0</v>
      </c>
      <c r="DJ49" s="37">
        <f t="shared" ref="DJ49:DT59" si="107">+DI49+CS49</f>
        <v>0</v>
      </c>
      <c r="DK49" s="37">
        <f t="shared" si="107"/>
        <v>0</v>
      </c>
      <c r="DL49" s="37">
        <f t="shared" si="107"/>
        <v>0</v>
      </c>
      <c r="DM49" s="37">
        <f t="shared" si="107"/>
        <v>0</v>
      </c>
      <c r="DN49" s="37">
        <f t="shared" si="107"/>
        <v>0</v>
      </c>
      <c r="DO49" s="37">
        <f t="shared" si="107"/>
        <v>0</v>
      </c>
      <c r="DP49" s="37">
        <f t="shared" si="107"/>
        <v>0</v>
      </c>
      <c r="DQ49" s="37">
        <f t="shared" si="107"/>
        <v>0</v>
      </c>
      <c r="DR49" s="37">
        <f t="shared" si="107"/>
        <v>0</v>
      </c>
      <c r="DS49" s="37">
        <f t="shared" si="107"/>
        <v>0</v>
      </c>
      <c r="DT49" s="37">
        <f t="shared" si="107"/>
        <v>0</v>
      </c>
      <c r="DU49" s="16"/>
      <c r="DV49" s="345" t="s">
        <v>108</v>
      </c>
    </row>
    <row r="50" spans="1:126" ht="15" customHeight="1" x14ac:dyDescent="0.3">
      <c r="A50" s="1" t="str">
        <f t="shared" si="0"/>
        <v>ADIFSE</v>
      </c>
      <c r="B50" s="1" t="str">
        <f t="shared" si="1"/>
        <v>ADIFSE</v>
      </c>
      <c r="C50" s="1" t="str">
        <f t="shared" si="2"/>
        <v>MAY</v>
      </c>
      <c r="D50" s="16" t="s">
        <v>163</v>
      </c>
      <c r="E50" s="69" t="str">
        <f t="shared" si="87"/>
        <v>Transferencias al Sector Privado - Resto</v>
      </c>
      <c r="F50" s="62" t="s">
        <v>207</v>
      </c>
      <c r="G50" s="16" t="s">
        <v>189</v>
      </c>
      <c r="H50" s="7" t="s">
        <v>205</v>
      </c>
      <c r="I50" s="7" t="s">
        <v>208</v>
      </c>
      <c r="J50" s="7" t="s">
        <v>166</v>
      </c>
      <c r="K50" s="51"/>
      <c r="L50" s="51"/>
      <c r="M50" s="51"/>
      <c r="N50" s="51"/>
      <c r="O50" s="51"/>
      <c r="P50" s="51"/>
      <c r="Q50" s="35">
        <f t="shared" si="13"/>
        <v>0</v>
      </c>
      <c r="R50" s="51"/>
      <c r="S50" s="51"/>
      <c r="T50" s="51"/>
      <c r="U50" s="51"/>
      <c r="V50" s="51"/>
      <c r="W50" s="52">
        <f t="shared" si="14"/>
        <v>0</v>
      </c>
      <c r="X50" s="51"/>
      <c r="Y50" s="51"/>
      <c r="Z50" s="51"/>
      <c r="AA50" s="51"/>
      <c r="AB50" s="51"/>
      <c r="AC50" s="52">
        <f t="shared" si="15"/>
        <v>0</v>
      </c>
      <c r="AD50" s="51"/>
      <c r="AE50" s="51"/>
      <c r="AF50" s="51"/>
      <c r="AG50" s="51"/>
      <c r="AH50" s="51"/>
      <c r="AI50" s="52">
        <f t="shared" si="16"/>
        <v>0</v>
      </c>
      <c r="AJ50" s="51"/>
      <c r="AK50" s="51"/>
      <c r="AL50" s="51"/>
      <c r="AM50" s="51"/>
      <c r="AN50" s="51"/>
      <c r="AO50" s="52">
        <f t="shared" si="17"/>
        <v>0</v>
      </c>
      <c r="AP50" s="51"/>
      <c r="AQ50" s="51"/>
      <c r="AR50" s="51"/>
      <c r="AS50" s="51"/>
      <c r="AT50" s="51"/>
      <c r="AU50" s="52">
        <f t="shared" si="18"/>
        <v>0</v>
      </c>
      <c r="AV50" s="51"/>
      <c r="AW50" s="51"/>
      <c r="AX50" s="51"/>
      <c r="AY50" s="51"/>
      <c r="AZ50" s="51"/>
      <c r="BA50" s="52">
        <f t="shared" si="19"/>
        <v>0</v>
      </c>
      <c r="BB50" s="51"/>
      <c r="BC50" s="51"/>
      <c r="BD50" s="51"/>
      <c r="BE50" s="51"/>
      <c r="BF50" s="51"/>
      <c r="BG50" s="52">
        <f t="shared" si="20"/>
        <v>0</v>
      </c>
      <c r="BH50" s="51"/>
      <c r="BI50" s="51"/>
      <c r="BJ50" s="51"/>
      <c r="BK50" s="51"/>
      <c r="BL50" s="51"/>
      <c r="BM50" s="52">
        <f t="shared" si="21"/>
        <v>0</v>
      </c>
      <c r="BN50" s="51"/>
      <c r="BO50" s="51"/>
      <c r="BP50" s="51"/>
      <c r="BQ50" s="51"/>
      <c r="BR50" s="51"/>
      <c r="BS50" s="52">
        <f t="shared" si="22"/>
        <v>0</v>
      </c>
      <c r="BT50" s="51"/>
      <c r="BU50" s="51"/>
      <c r="BV50" s="51"/>
      <c r="BW50" s="51"/>
      <c r="BX50" s="51"/>
      <c r="BY50" s="52">
        <f t="shared" si="23"/>
        <v>0</v>
      </c>
      <c r="BZ50" s="51"/>
      <c r="CA50" s="51"/>
      <c r="CB50" s="51"/>
      <c r="CC50" s="51"/>
      <c r="CD50" s="51"/>
      <c r="CE50" s="52">
        <f t="shared" si="24"/>
        <v>0</v>
      </c>
      <c r="CF50" s="51"/>
      <c r="CG50" s="51"/>
      <c r="CH50" s="51"/>
      <c r="CI50" s="51"/>
      <c r="CJ50" s="51"/>
      <c r="CK50" s="52">
        <f t="shared" si="25"/>
        <v>0</v>
      </c>
      <c r="CL50" s="35">
        <f t="shared" si="9"/>
        <v>0</v>
      </c>
      <c r="CM50" s="35">
        <f t="shared" si="9"/>
        <v>0</v>
      </c>
      <c r="CN50" s="35">
        <f t="shared" si="9"/>
        <v>0</v>
      </c>
      <c r="CO50" s="35">
        <f t="shared" si="9"/>
        <v>0</v>
      </c>
      <c r="CP50" s="35">
        <f t="shared" si="9"/>
        <v>0</v>
      </c>
      <c r="CQ50" s="35">
        <f t="shared" si="9"/>
        <v>0</v>
      </c>
      <c r="CR50" s="37">
        <f t="shared" si="88"/>
        <v>0</v>
      </c>
      <c r="CS50" s="39">
        <f t="shared" si="89"/>
        <v>0</v>
      </c>
      <c r="CT50" s="53">
        <f t="shared" si="90"/>
        <v>0</v>
      </c>
      <c r="CU50" s="39">
        <f t="shared" si="91"/>
        <v>0</v>
      </c>
      <c r="CV50" s="39">
        <f t="shared" si="92"/>
        <v>0</v>
      </c>
      <c r="CW50" s="39">
        <f t="shared" si="93"/>
        <v>0</v>
      </c>
      <c r="CX50" s="39">
        <f t="shared" si="94"/>
        <v>0</v>
      </c>
      <c r="CY50" s="39">
        <f t="shared" si="95"/>
        <v>0</v>
      </c>
      <c r="CZ50" s="39">
        <f t="shared" si="96"/>
        <v>0</v>
      </c>
      <c r="DA50" s="39">
        <f t="shared" si="97"/>
        <v>0</v>
      </c>
      <c r="DB50" s="39">
        <f t="shared" si="98"/>
        <v>0</v>
      </c>
      <c r="DC50" s="39">
        <f t="shared" si="99"/>
        <v>0</v>
      </c>
      <c r="DD50" s="39">
        <f>+HLOOKUP('Reporte Evolución Mensual'!$F$2-2,$CR$2:$DC$251, Input!$DG50, FALSE)</f>
        <v>0</v>
      </c>
      <c r="DE50" s="39">
        <f>+HLOOKUP('Reporte Evolución Mensual'!$F$2-1,$CR$2:$DC$251, Input!$DG50, FALSE)</f>
        <v>0</v>
      </c>
      <c r="DF50" s="39">
        <f>+HLOOKUP('Reporte Evolución Mensual'!$F$2,$CR$2:$DC$371, Input!$DG50, FALSE)</f>
        <v>0</v>
      </c>
      <c r="DG50" s="40">
        <f t="shared" si="37"/>
        <v>50</v>
      </c>
      <c r="DH50" s="39"/>
      <c r="DI50" s="37">
        <f t="shared" si="106"/>
        <v>0</v>
      </c>
      <c r="DJ50" s="37">
        <f t="shared" si="107"/>
        <v>0</v>
      </c>
      <c r="DK50" s="37">
        <f t="shared" si="107"/>
        <v>0</v>
      </c>
      <c r="DL50" s="37">
        <f t="shared" si="107"/>
        <v>0</v>
      </c>
      <c r="DM50" s="37">
        <f t="shared" si="107"/>
        <v>0</v>
      </c>
      <c r="DN50" s="37">
        <f t="shared" si="107"/>
        <v>0</v>
      </c>
      <c r="DO50" s="37">
        <f t="shared" si="107"/>
        <v>0</v>
      </c>
      <c r="DP50" s="37">
        <f t="shared" si="107"/>
        <v>0</v>
      </c>
      <c r="DQ50" s="37">
        <f t="shared" si="107"/>
        <v>0</v>
      </c>
      <c r="DR50" s="37">
        <f t="shared" si="107"/>
        <v>0</v>
      </c>
      <c r="DS50" s="37">
        <f t="shared" si="107"/>
        <v>0</v>
      </c>
      <c r="DT50" s="37">
        <f t="shared" si="107"/>
        <v>0</v>
      </c>
      <c r="DU50" s="16"/>
      <c r="DV50" s="345" t="s">
        <v>163</v>
      </c>
    </row>
    <row r="51" spans="1:126" ht="15" customHeight="1" x14ac:dyDescent="0.3">
      <c r="A51" s="1" t="str">
        <f t="shared" si="0"/>
        <v>ADIFSE</v>
      </c>
      <c r="B51" s="1" t="str">
        <f t="shared" si="1"/>
        <v>ADIFSE</v>
      </c>
      <c r="C51" s="1" t="str">
        <f t="shared" si="2"/>
        <v>MAY</v>
      </c>
      <c r="D51" s="16" t="s">
        <v>108</v>
      </c>
      <c r="E51" s="70" t="str">
        <f>CONCATENATE(H51," - ",I51)</f>
        <v>Transferencias al Sector Privado - Total</v>
      </c>
      <c r="F51" s="62">
        <v>51</v>
      </c>
      <c r="G51" s="16" t="s">
        <v>189</v>
      </c>
      <c r="H51" s="7" t="s">
        <v>205</v>
      </c>
      <c r="I51" s="7" t="s">
        <v>173</v>
      </c>
      <c r="J51" s="7" t="s">
        <v>166</v>
      </c>
      <c r="K51" s="37">
        <f>SUM(K49:K50)</f>
        <v>0</v>
      </c>
      <c r="L51" s="37">
        <f t="shared" ref="L51:Q51" si="108">SUM(L49:L50)</f>
        <v>0</v>
      </c>
      <c r="M51" s="37">
        <f t="shared" si="108"/>
        <v>0</v>
      </c>
      <c r="N51" s="37">
        <f t="shared" si="108"/>
        <v>0</v>
      </c>
      <c r="O51" s="37">
        <f t="shared" si="108"/>
        <v>0</v>
      </c>
      <c r="P51" s="37">
        <f t="shared" si="108"/>
        <v>0</v>
      </c>
      <c r="Q51" s="35">
        <f t="shared" si="108"/>
        <v>0</v>
      </c>
      <c r="R51" s="38">
        <f t="shared" ref="R51:AW51" si="109">SUM(R49:R50)</f>
        <v>0</v>
      </c>
      <c r="S51" s="38">
        <f t="shared" si="109"/>
        <v>0</v>
      </c>
      <c r="T51" s="38">
        <f t="shared" si="109"/>
        <v>0</v>
      </c>
      <c r="U51" s="38">
        <f t="shared" si="109"/>
        <v>0</v>
      </c>
      <c r="V51" s="38">
        <f t="shared" si="109"/>
        <v>0</v>
      </c>
      <c r="W51" s="36">
        <f t="shared" si="109"/>
        <v>0</v>
      </c>
      <c r="X51" s="38">
        <f t="shared" si="109"/>
        <v>0</v>
      </c>
      <c r="Y51" s="38">
        <f t="shared" si="109"/>
        <v>0</v>
      </c>
      <c r="Z51" s="38">
        <f t="shared" si="109"/>
        <v>0</v>
      </c>
      <c r="AA51" s="38">
        <f t="shared" si="109"/>
        <v>0</v>
      </c>
      <c r="AB51" s="38">
        <f t="shared" si="109"/>
        <v>0</v>
      </c>
      <c r="AC51" s="36">
        <f t="shared" si="109"/>
        <v>0</v>
      </c>
      <c r="AD51" s="38">
        <f t="shared" si="109"/>
        <v>0</v>
      </c>
      <c r="AE51" s="38">
        <f t="shared" si="109"/>
        <v>0</v>
      </c>
      <c r="AF51" s="38">
        <f t="shared" si="109"/>
        <v>0</v>
      </c>
      <c r="AG51" s="38">
        <f t="shared" si="109"/>
        <v>0</v>
      </c>
      <c r="AH51" s="38">
        <f t="shared" si="109"/>
        <v>0</v>
      </c>
      <c r="AI51" s="36">
        <f t="shared" si="109"/>
        <v>0</v>
      </c>
      <c r="AJ51" s="38">
        <f t="shared" si="109"/>
        <v>0</v>
      </c>
      <c r="AK51" s="38">
        <f t="shared" si="109"/>
        <v>0</v>
      </c>
      <c r="AL51" s="38">
        <f t="shared" si="109"/>
        <v>0</v>
      </c>
      <c r="AM51" s="38">
        <f t="shared" si="109"/>
        <v>0</v>
      </c>
      <c r="AN51" s="38">
        <f t="shared" si="109"/>
        <v>0</v>
      </c>
      <c r="AO51" s="36">
        <f t="shared" si="109"/>
        <v>0</v>
      </c>
      <c r="AP51" s="38">
        <f t="shared" si="109"/>
        <v>0</v>
      </c>
      <c r="AQ51" s="38">
        <f t="shared" si="109"/>
        <v>0</v>
      </c>
      <c r="AR51" s="38">
        <f t="shared" si="109"/>
        <v>0</v>
      </c>
      <c r="AS51" s="38">
        <f t="shared" si="109"/>
        <v>0</v>
      </c>
      <c r="AT51" s="38">
        <f t="shared" si="109"/>
        <v>0</v>
      </c>
      <c r="AU51" s="36">
        <f t="shared" si="109"/>
        <v>0</v>
      </c>
      <c r="AV51" s="38">
        <f t="shared" si="109"/>
        <v>0</v>
      </c>
      <c r="AW51" s="38">
        <f t="shared" si="109"/>
        <v>0</v>
      </c>
      <c r="AX51" s="38">
        <f t="shared" ref="AX51:BW51" si="110">SUM(AX49:AX50)</f>
        <v>0</v>
      </c>
      <c r="AY51" s="38">
        <f t="shared" si="110"/>
        <v>0</v>
      </c>
      <c r="AZ51" s="38">
        <f t="shared" si="110"/>
        <v>0</v>
      </c>
      <c r="BA51" s="36">
        <f t="shared" si="110"/>
        <v>0</v>
      </c>
      <c r="BB51" s="38">
        <f t="shared" si="110"/>
        <v>0</v>
      </c>
      <c r="BC51" s="38">
        <f t="shared" si="110"/>
        <v>0</v>
      </c>
      <c r="BD51" s="38">
        <f t="shared" si="110"/>
        <v>0</v>
      </c>
      <c r="BE51" s="38">
        <f t="shared" si="110"/>
        <v>0</v>
      </c>
      <c r="BF51" s="38">
        <f t="shared" si="110"/>
        <v>0</v>
      </c>
      <c r="BG51" s="36">
        <f t="shared" si="110"/>
        <v>0</v>
      </c>
      <c r="BH51" s="38">
        <f t="shared" si="110"/>
        <v>0</v>
      </c>
      <c r="BI51" s="38">
        <f t="shared" si="110"/>
        <v>0</v>
      </c>
      <c r="BJ51" s="38">
        <f t="shared" si="110"/>
        <v>0</v>
      </c>
      <c r="BK51" s="38">
        <f t="shared" si="110"/>
        <v>0</v>
      </c>
      <c r="BL51" s="38">
        <f t="shared" si="110"/>
        <v>0</v>
      </c>
      <c r="BM51" s="36">
        <f t="shared" si="110"/>
        <v>0</v>
      </c>
      <c r="BN51" s="38">
        <f t="shared" si="110"/>
        <v>0</v>
      </c>
      <c r="BO51" s="38">
        <f t="shared" si="110"/>
        <v>0</v>
      </c>
      <c r="BP51" s="38">
        <f t="shared" si="110"/>
        <v>0</v>
      </c>
      <c r="BQ51" s="38">
        <f t="shared" si="110"/>
        <v>0</v>
      </c>
      <c r="BR51" s="38">
        <f t="shared" si="110"/>
        <v>0</v>
      </c>
      <c r="BS51" s="36">
        <f t="shared" si="110"/>
        <v>0</v>
      </c>
      <c r="BT51" s="38">
        <f t="shared" si="110"/>
        <v>0</v>
      </c>
      <c r="BU51" s="38">
        <f t="shared" si="110"/>
        <v>0</v>
      </c>
      <c r="BV51" s="38">
        <f t="shared" si="110"/>
        <v>0</v>
      </c>
      <c r="BW51" s="38">
        <f t="shared" si="110"/>
        <v>0</v>
      </c>
      <c r="BX51" s="38">
        <f t="shared" ref="BX51:CK51" si="111">SUM(BX49:BX50)</f>
        <v>0</v>
      </c>
      <c r="BY51" s="36">
        <f t="shared" si="111"/>
        <v>0</v>
      </c>
      <c r="BZ51" s="38">
        <f t="shared" si="111"/>
        <v>0</v>
      </c>
      <c r="CA51" s="38">
        <f t="shared" si="111"/>
        <v>0</v>
      </c>
      <c r="CB51" s="38">
        <f t="shared" si="111"/>
        <v>0</v>
      </c>
      <c r="CC51" s="38">
        <f t="shared" si="111"/>
        <v>0</v>
      </c>
      <c r="CD51" s="38">
        <f t="shared" si="111"/>
        <v>0</v>
      </c>
      <c r="CE51" s="36">
        <f t="shared" si="111"/>
        <v>0</v>
      </c>
      <c r="CF51" s="38">
        <f t="shared" si="111"/>
        <v>0</v>
      </c>
      <c r="CG51" s="38">
        <f t="shared" si="111"/>
        <v>0</v>
      </c>
      <c r="CH51" s="38">
        <f t="shared" si="111"/>
        <v>0</v>
      </c>
      <c r="CI51" s="38">
        <f t="shared" si="111"/>
        <v>0</v>
      </c>
      <c r="CJ51" s="38">
        <f t="shared" si="111"/>
        <v>0</v>
      </c>
      <c r="CK51" s="71">
        <f t="shared" si="111"/>
        <v>0</v>
      </c>
      <c r="CL51" s="67">
        <f t="shared" si="9"/>
        <v>0</v>
      </c>
      <c r="CM51" s="67">
        <f t="shared" si="9"/>
        <v>0</v>
      </c>
      <c r="CN51" s="67">
        <f t="shared" si="9"/>
        <v>0</v>
      </c>
      <c r="CO51" s="67">
        <f t="shared" si="9"/>
        <v>0</v>
      </c>
      <c r="CP51" s="67">
        <f t="shared" si="9"/>
        <v>0</v>
      </c>
      <c r="CQ51" s="67">
        <f t="shared" si="9"/>
        <v>0</v>
      </c>
      <c r="CR51" s="37">
        <f t="shared" si="88"/>
        <v>0</v>
      </c>
      <c r="CS51" s="39">
        <f t="shared" si="89"/>
        <v>0</v>
      </c>
      <c r="CT51" s="53">
        <f t="shared" si="90"/>
        <v>0</v>
      </c>
      <c r="CU51" s="39">
        <f t="shared" si="91"/>
        <v>0</v>
      </c>
      <c r="CV51" s="39">
        <f t="shared" si="92"/>
        <v>0</v>
      </c>
      <c r="CW51" s="39">
        <f t="shared" si="93"/>
        <v>0</v>
      </c>
      <c r="CX51" s="39">
        <f t="shared" si="94"/>
        <v>0</v>
      </c>
      <c r="CY51" s="39">
        <f t="shared" si="95"/>
        <v>0</v>
      </c>
      <c r="CZ51" s="39">
        <f t="shared" si="96"/>
        <v>0</v>
      </c>
      <c r="DA51" s="39">
        <f t="shared" si="97"/>
        <v>0</v>
      </c>
      <c r="DB51" s="39">
        <f t="shared" si="98"/>
        <v>0</v>
      </c>
      <c r="DC51" s="39">
        <f t="shared" si="99"/>
        <v>0</v>
      </c>
      <c r="DD51" s="39">
        <f>+HLOOKUP('Reporte Evolución Mensual'!$F$2-2,$CR$2:$DC$251, Input!$DG51, FALSE)</f>
        <v>0</v>
      </c>
      <c r="DE51" s="39">
        <f>+HLOOKUP('Reporte Evolución Mensual'!$F$2-1,$CR$2:$DC$251, Input!$DG51, FALSE)</f>
        <v>0</v>
      </c>
      <c r="DF51" s="39">
        <f>+HLOOKUP('Reporte Evolución Mensual'!$F$2,$CR$2:$DC$371, Input!$DG51, FALSE)</f>
        <v>0</v>
      </c>
      <c r="DG51" s="40">
        <f t="shared" si="37"/>
        <v>51</v>
      </c>
      <c r="DH51" s="16"/>
      <c r="DI51" s="37">
        <f t="shared" si="106"/>
        <v>0</v>
      </c>
      <c r="DJ51" s="37">
        <f t="shared" si="107"/>
        <v>0</v>
      </c>
      <c r="DK51" s="37">
        <f t="shared" si="107"/>
        <v>0</v>
      </c>
      <c r="DL51" s="37">
        <f t="shared" si="107"/>
        <v>0</v>
      </c>
      <c r="DM51" s="37">
        <f t="shared" si="107"/>
        <v>0</v>
      </c>
      <c r="DN51" s="37">
        <f t="shared" si="107"/>
        <v>0</v>
      </c>
      <c r="DO51" s="37">
        <f t="shared" si="107"/>
        <v>0</v>
      </c>
      <c r="DP51" s="37">
        <f t="shared" si="107"/>
        <v>0</v>
      </c>
      <c r="DQ51" s="37">
        <f t="shared" si="107"/>
        <v>0</v>
      </c>
      <c r="DR51" s="37">
        <f t="shared" si="107"/>
        <v>0</v>
      </c>
      <c r="DS51" s="37">
        <f t="shared" si="107"/>
        <v>0</v>
      </c>
      <c r="DT51" s="37">
        <f t="shared" si="107"/>
        <v>0</v>
      </c>
      <c r="DU51" s="16"/>
      <c r="DV51" s="345"/>
    </row>
    <row r="52" spans="1:126" ht="15" customHeight="1" x14ac:dyDescent="0.3">
      <c r="A52" s="1" t="str">
        <f t="shared" si="0"/>
        <v>ADIFSE</v>
      </c>
      <c r="B52" s="1" t="str">
        <f t="shared" si="1"/>
        <v>ADIFSE</v>
      </c>
      <c r="C52" s="1" t="str">
        <f t="shared" si="2"/>
        <v>MAY</v>
      </c>
      <c r="D52" s="16" t="s">
        <v>163</v>
      </c>
      <c r="E52" s="69" t="str">
        <f t="shared" si="87"/>
        <v>Transferencias a Empresas y Otros Entes - BCyL</v>
      </c>
      <c r="F52" s="62" t="s">
        <v>209</v>
      </c>
      <c r="G52" s="16" t="s">
        <v>189</v>
      </c>
      <c r="H52" s="7" t="s">
        <v>210</v>
      </c>
      <c r="I52" s="7" t="s">
        <v>211</v>
      </c>
      <c r="J52" s="7" t="s">
        <v>166</v>
      </c>
      <c r="K52" s="51"/>
      <c r="L52" s="51"/>
      <c r="M52" s="51"/>
      <c r="N52" s="51"/>
      <c r="O52" s="51"/>
      <c r="P52" s="51"/>
      <c r="Q52" s="35">
        <f t="shared" si="13"/>
        <v>0</v>
      </c>
      <c r="R52" s="51"/>
      <c r="S52" s="51"/>
      <c r="T52" s="51"/>
      <c r="U52" s="51"/>
      <c r="V52" s="51"/>
      <c r="W52" s="52">
        <f t="shared" si="14"/>
        <v>0</v>
      </c>
      <c r="X52" s="51"/>
      <c r="Y52" s="51"/>
      <c r="Z52" s="51"/>
      <c r="AA52" s="51"/>
      <c r="AB52" s="51"/>
      <c r="AC52" s="52">
        <f t="shared" si="15"/>
        <v>0</v>
      </c>
      <c r="AD52" s="51"/>
      <c r="AE52" s="51"/>
      <c r="AF52" s="51"/>
      <c r="AG52" s="51"/>
      <c r="AH52" s="51"/>
      <c r="AI52" s="52">
        <f t="shared" si="16"/>
        <v>0</v>
      </c>
      <c r="AJ52" s="51"/>
      <c r="AK52" s="51"/>
      <c r="AL52" s="51"/>
      <c r="AM52" s="51"/>
      <c r="AN52" s="51"/>
      <c r="AO52" s="52">
        <f t="shared" si="17"/>
        <v>0</v>
      </c>
      <c r="AP52" s="51"/>
      <c r="AQ52" s="51"/>
      <c r="AR52" s="51"/>
      <c r="AS52" s="51"/>
      <c r="AT52" s="51"/>
      <c r="AU52" s="52">
        <f t="shared" si="18"/>
        <v>0</v>
      </c>
      <c r="AV52" s="51"/>
      <c r="AW52" s="51"/>
      <c r="AX52" s="51"/>
      <c r="AY52" s="51"/>
      <c r="AZ52" s="51"/>
      <c r="BA52" s="52">
        <f t="shared" si="19"/>
        <v>0</v>
      </c>
      <c r="BB52" s="51"/>
      <c r="BC52" s="51"/>
      <c r="BD52" s="51"/>
      <c r="BE52" s="51"/>
      <c r="BF52" s="51"/>
      <c r="BG52" s="52">
        <f t="shared" si="20"/>
        <v>0</v>
      </c>
      <c r="BH52" s="51"/>
      <c r="BI52" s="51"/>
      <c r="BJ52" s="51"/>
      <c r="BK52" s="51"/>
      <c r="BL52" s="51"/>
      <c r="BM52" s="52">
        <f t="shared" si="21"/>
        <v>0</v>
      </c>
      <c r="BN52" s="51"/>
      <c r="BO52" s="51"/>
      <c r="BP52" s="51"/>
      <c r="BQ52" s="51"/>
      <c r="BR52" s="51"/>
      <c r="BS52" s="52">
        <f t="shared" si="22"/>
        <v>0</v>
      </c>
      <c r="BT52" s="51"/>
      <c r="BU52" s="51"/>
      <c r="BV52" s="51"/>
      <c r="BW52" s="51"/>
      <c r="BX52" s="51"/>
      <c r="BY52" s="52">
        <f t="shared" si="23"/>
        <v>0</v>
      </c>
      <c r="BZ52" s="51"/>
      <c r="CA52" s="51"/>
      <c r="CB52" s="51"/>
      <c r="CC52" s="51"/>
      <c r="CD52" s="51"/>
      <c r="CE52" s="52">
        <f t="shared" si="24"/>
        <v>0</v>
      </c>
      <c r="CF52" s="51"/>
      <c r="CG52" s="51"/>
      <c r="CH52" s="51"/>
      <c r="CI52" s="51"/>
      <c r="CJ52" s="51"/>
      <c r="CK52" s="52">
        <f t="shared" si="25"/>
        <v>0</v>
      </c>
      <c r="CL52" s="35">
        <f t="shared" si="9"/>
        <v>0</v>
      </c>
      <c r="CM52" s="35">
        <f t="shared" si="9"/>
        <v>0</v>
      </c>
      <c r="CN52" s="35">
        <f t="shared" si="9"/>
        <v>0</v>
      </c>
      <c r="CO52" s="35">
        <f t="shared" si="9"/>
        <v>0</v>
      </c>
      <c r="CP52" s="35">
        <f t="shared" si="9"/>
        <v>0</v>
      </c>
      <c r="CQ52" s="35">
        <f t="shared" si="9"/>
        <v>0</v>
      </c>
      <c r="CR52" s="37">
        <f t="shared" si="88"/>
        <v>0</v>
      </c>
      <c r="CS52" s="39">
        <f t="shared" si="89"/>
        <v>0</v>
      </c>
      <c r="CT52" s="53">
        <f t="shared" si="90"/>
        <v>0</v>
      </c>
      <c r="CU52" s="39">
        <f t="shared" si="91"/>
        <v>0</v>
      </c>
      <c r="CV52" s="39">
        <f t="shared" si="92"/>
        <v>0</v>
      </c>
      <c r="CW52" s="39">
        <f t="shared" si="93"/>
        <v>0</v>
      </c>
      <c r="CX52" s="39">
        <f t="shared" si="94"/>
        <v>0</v>
      </c>
      <c r="CY52" s="39">
        <f t="shared" si="95"/>
        <v>0</v>
      </c>
      <c r="CZ52" s="39">
        <f t="shared" si="96"/>
        <v>0</v>
      </c>
      <c r="DA52" s="39">
        <f t="shared" si="97"/>
        <v>0</v>
      </c>
      <c r="DB52" s="39">
        <f t="shared" si="98"/>
        <v>0</v>
      </c>
      <c r="DC52" s="39">
        <f t="shared" si="99"/>
        <v>0</v>
      </c>
      <c r="DD52" s="39">
        <f>+HLOOKUP('Reporte Evolución Mensual'!$F$2-2,$CR$2:$DC$251, Input!$DG52, FALSE)</f>
        <v>0</v>
      </c>
      <c r="DE52" s="39">
        <f>+HLOOKUP('Reporte Evolución Mensual'!$F$2-1,$CR$2:$DC$251, Input!$DG52, FALSE)</f>
        <v>0</v>
      </c>
      <c r="DF52" s="39">
        <f>+HLOOKUP('Reporte Evolución Mensual'!$F$2,$CR$2:$DC$371, Input!$DG52, FALSE)</f>
        <v>0</v>
      </c>
      <c r="DG52" s="40">
        <f t="shared" si="37"/>
        <v>52</v>
      </c>
      <c r="DH52" s="39"/>
      <c r="DI52" s="37">
        <f t="shared" si="106"/>
        <v>0</v>
      </c>
      <c r="DJ52" s="37">
        <f t="shared" si="107"/>
        <v>0</v>
      </c>
      <c r="DK52" s="37">
        <f t="shared" si="107"/>
        <v>0</v>
      </c>
      <c r="DL52" s="37">
        <f t="shared" si="107"/>
        <v>0</v>
      </c>
      <c r="DM52" s="37">
        <f t="shared" si="107"/>
        <v>0</v>
      </c>
      <c r="DN52" s="37">
        <f t="shared" si="107"/>
        <v>0</v>
      </c>
      <c r="DO52" s="37">
        <f t="shared" si="107"/>
        <v>0</v>
      </c>
      <c r="DP52" s="37">
        <f t="shared" si="107"/>
        <v>0</v>
      </c>
      <c r="DQ52" s="37">
        <f t="shared" si="107"/>
        <v>0</v>
      </c>
      <c r="DR52" s="37">
        <f t="shared" si="107"/>
        <v>0</v>
      </c>
      <c r="DS52" s="37">
        <f t="shared" si="107"/>
        <v>0</v>
      </c>
      <c r="DT52" s="37">
        <f t="shared" si="107"/>
        <v>0</v>
      </c>
      <c r="DU52" s="16"/>
      <c r="DV52" s="345" t="s">
        <v>163</v>
      </c>
    </row>
    <row r="53" spans="1:126" ht="15" customHeight="1" x14ac:dyDescent="0.3">
      <c r="A53" s="1" t="str">
        <f t="shared" si="0"/>
        <v>ADIFSE</v>
      </c>
      <c r="B53" s="1" t="str">
        <f t="shared" si="1"/>
        <v>ADIFSE</v>
      </c>
      <c r="C53" s="1" t="str">
        <f t="shared" si="2"/>
        <v>MAY</v>
      </c>
      <c r="D53" s="16" t="s">
        <v>163</v>
      </c>
      <c r="E53" s="69" t="str">
        <f t="shared" si="87"/>
        <v>Transferencias a Empresas y Otros Entes - ADIF</v>
      </c>
      <c r="F53" s="62" t="s">
        <v>212</v>
      </c>
      <c r="G53" s="16" t="s">
        <v>189</v>
      </c>
      <c r="H53" s="7" t="s">
        <v>210</v>
      </c>
      <c r="I53" s="7" t="s">
        <v>213</v>
      </c>
      <c r="J53" s="7" t="s">
        <v>166</v>
      </c>
      <c r="K53" s="51"/>
      <c r="L53" s="51"/>
      <c r="M53" s="51"/>
      <c r="N53" s="51"/>
      <c r="O53" s="51"/>
      <c r="P53" s="51"/>
      <c r="Q53" s="35">
        <f t="shared" si="13"/>
        <v>0</v>
      </c>
      <c r="R53" s="51"/>
      <c r="S53" s="51"/>
      <c r="T53" s="51"/>
      <c r="U53" s="51"/>
      <c r="V53" s="51"/>
      <c r="W53" s="52">
        <f t="shared" si="14"/>
        <v>0</v>
      </c>
      <c r="X53" s="51"/>
      <c r="Y53" s="51"/>
      <c r="Z53" s="51"/>
      <c r="AA53" s="51"/>
      <c r="AB53" s="51"/>
      <c r="AC53" s="52">
        <f t="shared" si="15"/>
        <v>0</v>
      </c>
      <c r="AD53" s="51"/>
      <c r="AE53" s="51"/>
      <c r="AF53" s="51"/>
      <c r="AG53" s="51"/>
      <c r="AH53" s="51"/>
      <c r="AI53" s="52">
        <f t="shared" si="16"/>
        <v>0</v>
      </c>
      <c r="AJ53" s="51"/>
      <c r="AK53" s="51"/>
      <c r="AL53" s="51"/>
      <c r="AM53" s="51"/>
      <c r="AN53" s="51"/>
      <c r="AO53" s="52">
        <f t="shared" si="17"/>
        <v>0</v>
      </c>
      <c r="AP53" s="51"/>
      <c r="AQ53" s="51"/>
      <c r="AR53" s="51"/>
      <c r="AS53" s="51"/>
      <c r="AT53" s="51"/>
      <c r="AU53" s="52">
        <f t="shared" si="18"/>
        <v>0</v>
      </c>
      <c r="AV53" s="51"/>
      <c r="AW53" s="51"/>
      <c r="AX53" s="51"/>
      <c r="AY53" s="51"/>
      <c r="AZ53" s="51"/>
      <c r="BA53" s="52">
        <f t="shared" si="19"/>
        <v>0</v>
      </c>
      <c r="BB53" s="51"/>
      <c r="BC53" s="51"/>
      <c r="BD53" s="51"/>
      <c r="BE53" s="51"/>
      <c r="BF53" s="51"/>
      <c r="BG53" s="52">
        <f t="shared" si="20"/>
        <v>0</v>
      </c>
      <c r="BH53" s="51"/>
      <c r="BI53" s="51"/>
      <c r="BJ53" s="51"/>
      <c r="BK53" s="51"/>
      <c r="BL53" s="51"/>
      <c r="BM53" s="52">
        <f t="shared" si="21"/>
        <v>0</v>
      </c>
      <c r="BN53" s="51"/>
      <c r="BO53" s="51"/>
      <c r="BP53" s="51"/>
      <c r="BQ53" s="51"/>
      <c r="BR53" s="51"/>
      <c r="BS53" s="52">
        <f t="shared" si="22"/>
        <v>0</v>
      </c>
      <c r="BT53" s="51"/>
      <c r="BU53" s="51"/>
      <c r="BV53" s="51"/>
      <c r="BW53" s="51"/>
      <c r="BX53" s="51"/>
      <c r="BY53" s="52">
        <f t="shared" si="23"/>
        <v>0</v>
      </c>
      <c r="BZ53" s="51"/>
      <c r="CA53" s="51"/>
      <c r="CB53" s="51"/>
      <c r="CC53" s="51"/>
      <c r="CD53" s="51"/>
      <c r="CE53" s="52">
        <f t="shared" si="24"/>
        <v>0</v>
      </c>
      <c r="CF53" s="51"/>
      <c r="CG53" s="51"/>
      <c r="CH53" s="51"/>
      <c r="CI53" s="51"/>
      <c r="CJ53" s="51"/>
      <c r="CK53" s="52">
        <f t="shared" si="25"/>
        <v>0</v>
      </c>
      <c r="CL53" s="35">
        <f t="shared" si="9"/>
        <v>0</v>
      </c>
      <c r="CM53" s="35">
        <f t="shared" si="9"/>
        <v>0</v>
      </c>
      <c r="CN53" s="35">
        <f t="shared" si="9"/>
        <v>0</v>
      </c>
      <c r="CO53" s="35">
        <f t="shared" si="9"/>
        <v>0</v>
      </c>
      <c r="CP53" s="35">
        <f t="shared" si="9"/>
        <v>0</v>
      </c>
      <c r="CQ53" s="35">
        <f t="shared" si="9"/>
        <v>0</v>
      </c>
      <c r="CR53" s="37">
        <f t="shared" si="88"/>
        <v>0</v>
      </c>
      <c r="CS53" s="39">
        <f t="shared" si="89"/>
        <v>0</v>
      </c>
      <c r="CT53" s="53">
        <f t="shared" si="90"/>
        <v>0</v>
      </c>
      <c r="CU53" s="39">
        <f t="shared" si="91"/>
        <v>0</v>
      </c>
      <c r="CV53" s="39">
        <f t="shared" si="92"/>
        <v>0</v>
      </c>
      <c r="CW53" s="39">
        <f t="shared" si="93"/>
        <v>0</v>
      </c>
      <c r="CX53" s="39">
        <f t="shared" si="94"/>
        <v>0</v>
      </c>
      <c r="CY53" s="39">
        <f t="shared" si="95"/>
        <v>0</v>
      </c>
      <c r="CZ53" s="39">
        <f t="shared" si="96"/>
        <v>0</v>
      </c>
      <c r="DA53" s="39">
        <f t="shared" si="97"/>
        <v>0</v>
      </c>
      <c r="DB53" s="39">
        <f t="shared" si="98"/>
        <v>0</v>
      </c>
      <c r="DC53" s="39">
        <f t="shared" si="99"/>
        <v>0</v>
      </c>
      <c r="DD53" s="39">
        <f>+HLOOKUP('Reporte Evolución Mensual'!$F$2-2,$CR$2:$DC$251, Input!$DG53, FALSE)</f>
        <v>0</v>
      </c>
      <c r="DE53" s="39">
        <f>+HLOOKUP('Reporte Evolución Mensual'!$F$2-1,$CR$2:$DC$251, Input!$DG53, FALSE)</f>
        <v>0</v>
      </c>
      <c r="DF53" s="39">
        <f>+HLOOKUP('Reporte Evolución Mensual'!$F$2,$CR$2:$DC$371, Input!$DG53, FALSE)</f>
        <v>0</v>
      </c>
      <c r="DG53" s="40">
        <f t="shared" si="37"/>
        <v>53</v>
      </c>
      <c r="DH53" s="39"/>
      <c r="DI53" s="37">
        <f t="shared" si="106"/>
        <v>0</v>
      </c>
      <c r="DJ53" s="37">
        <f t="shared" si="107"/>
        <v>0</v>
      </c>
      <c r="DK53" s="37">
        <f t="shared" si="107"/>
        <v>0</v>
      </c>
      <c r="DL53" s="37">
        <f t="shared" si="107"/>
        <v>0</v>
      </c>
      <c r="DM53" s="37">
        <f t="shared" si="107"/>
        <v>0</v>
      </c>
      <c r="DN53" s="37">
        <f t="shared" si="107"/>
        <v>0</v>
      </c>
      <c r="DO53" s="37">
        <f t="shared" si="107"/>
        <v>0</v>
      </c>
      <c r="DP53" s="37">
        <f t="shared" si="107"/>
        <v>0</v>
      </c>
      <c r="DQ53" s="37">
        <f t="shared" si="107"/>
        <v>0</v>
      </c>
      <c r="DR53" s="37">
        <f t="shared" si="107"/>
        <v>0</v>
      </c>
      <c r="DS53" s="37">
        <f t="shared" si="107"/>
        <v>0</v>
      </c>
      <c r="DT53" s="37">
        <f t="shared" si="107"/>
        <v>0</v>
      </c>
      <c r="DU53" s="16"/>
      <c r="DV53" s="345" t="s">
        <v>163</v>
      </c>
    </row>
    <row r="54" spans="1:126" ht="15" customHeight="1" x14ac:dyDescent="0.3">
      <c r="A54" s="1" t="str">
        <f t="shared" si="0"/>
        <v>ADIFSE</v>
      </c>
      <c r="B54" s="1" t="str">
        <f t="shared" si="1"/>
        <v>ADIFSE</v>
      </c>
      <c r="C54" s="1" t="str">
        <f t="shared" si="2"/>
        <v>MAY</v>
      </c>
      <c r="D54" s="16" t="s">
        <v>163</v>
      </c>
      <c r="E54" s="69" t="str">
        <f t="shared" si="87"/>
        <v>Transferencias a Empresas y Otros Entes - SOFSE</v>
      </c>
      <c r="F54" s="62" t="s">
        <v>214</v>
      </c>
      <c r="G54" s="16" t="s">
        <v>189</v>
      </c>
      <c r="H54" s="7" t="s">
        <v>210</v>
      </c>
      <c r="I54" s="7" t="s">
        <v>215</v>
      </c>
      <c r="J54" s="7" t="s">
        <v>166</v>
      </c>
      <c r="K54" s="51"/>
      <c r="L54" s="51"/>
      <c r="M54" s="51"/>
      <c r="N54" s="51"/>
      <c r="O54" s="51"/>
      <c r="P54" s="51"/>
      <c r="Q54" s="35">
        <f t="shared" si="13"/>
        <v>0</v>
      </c>
      <c r="R54" s="51"/>
      <c r="S54" s="51"/>
      <c r="T54" s="51"/>
      <c r="U54" s="51"/>
      <c r="V54" s="51"/>
      <c r="W54" s="52">
        <f t="shared" si="14"/>
        <v>0</v>
      </c>
      <c r="X54" s="51"/>
      <c r="Y54" s="51"/>
      <c r="Z54" s="51"/>
      <c r="AA54" s="51"/>
      <c r="AB54" s="51"/>
      <c r="AC54" s="52">
        <f t="shared" si="15"/>
        <v>0</v>
      </c>
      <c r="AD54" s="51"/>
      <c r="AE54" s="51"/>
      <c r="AF54" s="51"/>
      <c r="AG54" s="51"/>
      <c r="AH54" s="51"/>
      <c r="AI54" s="52">
        <f t="shared" si="16"/>
        <v>0</v>
      </c>
      <c r="AJ54" s="51"/>
      <c r="AK54" s="51"/>
      <c r="AL54" s="51"/>
      <c r="AM54" s="51"/>
      <c r="AN54" s="51"/>
      <c r="AO54" s="52">
        <f t="shared" si="17"/>
        <v>0</v>
      </c>
      <c r="AP54" s="51"/>
      <c r="AQ54" s="51"/>
      <c r="AR54" s="51"/>
      <c r="AS54" s="51"/>
      <c r="AT54" s="51"/>
      <c r="AU54" s="52">
        <f t="shared" si="18"/>
        <v>0</v>
      </c>
      <c r="AV54" s="51"/>
      <c r="AW54" s="51"/>
      <c r="AX54" s="51"/>
      <c r="AY54" s="51"/>
      <c r="AZ54" s="51"/>
      <c r="BA54" s="52">
        <f t="shared" si="19"/>
        <v>0</v>
      </c>
      <c r="BB54" s="51"/>
      <c r="BC54" s="51"/>
      <c r="BD54" s="51"/>
      <c r="BE54" s="51"/>
      <c r="BF54" s="51"/>
      <c r="BG54" s="52">
        <f t="shared" si="20"/>
        <v>0</v>
      </c>
      <c r="BH54" s="51"/>
      <c r="BI54" s="51"/>
      <c r="BJ54" s="51"/>
      <c r="BK54" s="51"/>
      <c r="BL54" s="51"/>
      <c r="BM54" s="52">
        <f t="shared" si="21"/>
        <v>0</v>
      </c>
      <c r="BN54" s="51"/>
      <c r="BO54" s="51"/>
      <c r="BP54" s="51"/>
      <c r="BQ54" s="51"/>
      <c r="BR54" s="51"/>
      <c r="BS54" s="52">
        <f t="shared" si="22"/>
        <v>0</v>
      </c>
      <c r="BT54" s="51"/>
      <c r="BU54" s="51"/>
      <c r="BV54" s="51"/>
      <c r="BW54" s="51"/>
      <c r="BX54" s="51"/>
      <c r="BY54" s="52">
        <f t="shared" si="23"/>
        <v>0</v>
      </c>
      <c r="BZ54" s="51"/>
      <c r="CA54" s="51"/>
      <c r="CB54" s="51"/>
      <c r="CC54" s="51"/>
      <c r="CD54" s="51"/>
      <c r="CE54" s="52">
        <f t="shared" si="24"/>
        <v>0</v>
      </c>
      <c r="CF54" s="51"/>
      <c r="CG54" s="51"/>
      <c r="CH54" s="51"/>
      <c r="CI54" s="51"/>
      <c r="CJ54" s="51"/>
      <c r="CK54" s="52">
        <f t="shared" si="25"/>
        <v>0</v>
      </c>
      <c r="CL54" s="35">
        <f t="shared" si="9"/>
        <v>0</v>
      </c>
      <c r="CM54" s="35">
        <f t="shared" si="9"/>
        <v>0</v>
      </c>
      <c r="CN54" s="35">
        <f t="shared" si="9"/>
        <v>0</v>
      </c>
      <c r="CO54" s="35">
        <f t="shared" si="9"/>
        <v>0</v>
      </c>
      <c r="CP54" s="35">
        <f t="shared" si="9"/>
        <v>0</v>
      </c>
      <c r="CQ54" s="35">
        <f t="shared" si="9"/>
        <v>0</v>
      </c>
      <c r="CR54" s="37">
        <f t="shared" si="88"/>
        <v>0</v>
      </c>
      <c r="CS54" s="39">
        <f t="shared" si="89"/>
        <v>0</v>
      </c>
      <c r="CT54" s="53">
        <f t="shared" si="90"/>
        <v>0</v>
      </c>
      <c r="CU54" s="39">
        <f t="shared" si="91"/>
        <v>0</v>
      </c>
      <c r="CV54" s="39">
        <f t="shared" si="92"/>
        <v>0</v>
      </c>
      <c r="CW54" s="39">
        <f t="shared" si="93"/>
        <v>0</v>
      </c>
      <c r="CX54" s="39">
        <f t="shared" si="94"/>
        <v>0</v>
      </c>
      <c r="CY54" s="39">
        <f t="shared" si="95"/>
        <v>0</v>
      </c>
      <c r="CZ54" s="39">
        <f t="shared" si="96"/>
        <v>0</v>
      </c>
      <c r="DA54" s="39">
        <f t="shared" si="97"/>
        <v>0</v>
      </c>
      <c r="DB54" s="39">
        <f t="shared" si="98"/>
        <v>0</v>
      </c>
      <c r="DC54" s="39">
        <f t="shared" si="99"/>
        <v>0</v>
      </c>
      <c r="DD54" s="39">
        <f>+HLOOKUP('Reporte Evolución Mensual'!$F$2-2,$CR$2:$DC$251, Input!$DG54, FALSE)</f>
        <v>0</v>
      </c>
      <c r="DE54" s="39">
        <f>+HLOOKUP('Reporte Evolución Mensual'!$F$2-1,$CR$2:$DC$251, Input!$DG54, FALSE)</f>
        <v>0</v>
      </c>
      <c r="DF54" s="39">
        <f>+HLOOKUP('Reporte Evolución Mensual'!$F$2,$CR$2:$DC$371, Input!$DG54, FALSE)</f>
        <v>0</v>
      </c>
      <c r="DG54" s="40">
        <f t="shared" si="37"/>
        <v>54</v>
      </c>
      <c r="DH54" s="39"/>
      <c r="DI54" s="37">
        <f t="shared" si="106"/>
        <v>0</v>
      </c>
      <c r="DJ54" s="37">
        <f t="shared" si="107"/>
        <v>0</v>
      </c>
      <c r="DK54" s="37">
        <f t="shared" si="107"/>
        <v>0</v>
      </c>
      <c r="DL54" s="37">
        <f t="shared" si="107"/>
        <v>0</v>
      </c>
      <c r="DM54" s="37">
        <f t="shared" si="107"/>
        <v>0</v>
      </c>
      <c r="DN54" s="37">
        <f t="shared" si="107"/>
        <v>0</v>
      </c>
      <c r="DO54" s="37">
        <f t="shared" si="107"/>
        <v>0</v>
      </c>
      <c r="DP54" s="37">
        <f t="shared" si="107"/>
        <v>0</v>
      </c>
      <c r="DQ54" s="37">
        <f t="shared" si="107"/>
        <v>0</v>
      </c>
      <c r="DR54" s="37">
        <f t="shared" si="107"/>
        <v>0</v>
      </c>
      <c r="DS54" s="37">
        <f t="shared" si="107"/>
        <v>0</v>
      </c>
      <c r="DT54" s="37">
        <f t="shared" si="107"/>
        <v>0</v>
      </c>
      <c r="DU54" s="16"/>
      <c r="DV54" s="345" t="s">
        <v>163</v>
      </c>
    </row>
    <row r="55" spans="1:126" ht="15" customHeight="1" x14ac:dyDescent="0.3">
      <c r="A55" s="1" t="str">
        <f t="shared" si="0"/>
        <v>ADIFSE</v>
      </c>
      <c r="B55" s="1" t="str">
        <f t="shared" si="1"/>
        <v>ADIFSE</v>
      </c>
      <c r="C55" s="1" t="str">
        <f t="shared" si="2"/>
        <v>MAY</v>
      </c>
      <c r="D55" s="16" t="s">
        <v>163</v>
      </c>
      <c r="E55" s="69" t="str">
        <f t="shared" si="87"/>
        <v>Transferencias a Empresas y Otros Entes - Fondo Fiduciario de Infraestructura de Transporte</v>
      </c>
      <c r="F55" s="62" t="s">
        <v>216</v>
      </c>
      <c r="G55" s="16" t="s">
        <v>189</v>
      </c>
      <c r="H55" s="7" t="s">
        <v>210</v>
      </c>
      <c r="I55" s="7" t="s">
        <v>217</v>
      </c>
      <c r="J55" s="7" t="s">
        <v>166</v>
      </c>
      <c r="K55" s="51"/>
      <c r="L55" s="51"/>
      <c r="M55" s="51"/>
      <c r="N55" s="51"/>
      <c r="O55" s="51"/>
      <c r="P55" s="51"/>
      <c r="Q55" s="35">
        <f t="shared" si="13"/>
        <v>0</v>
      </c>
      <c r="R55" s="51"/>
      <c r="S55" s="51"/>
      <c r="T55" s="51"/>
      <c r="U55" s="51"/>
      <c r="V55" s="51"/>
      <c r="W55" s="52">
        <f t="shared" si="14"/>
        <v>0</v>
      </c>
      <c r="X55" s="51"/>
      <c r="Y55" s="51"/>
      <c r="Z55" s="51"/>
      <c r="AA55" s="51"/>
      <c r="AB55" s="51"/>
      <c r="AC55" s="52">
        <f t="shared" si="15"/>
        <v>0</v>
      </c>
      <c r="AD55" s="51"/>
      <c r="AE55" s="51"/>
      <c r="AF55" s="51"/>
      <c r="AG55" s="51"/>
      <c r="AH55" s="51"/>
      <c r="AI55" s="52">
        <f t="shared" si="16"/>
        <v>0</v>
      </c>
      <c r="AJ55" s="51"/>
      <c r="AK55" s="51"/>
      <c r="AL55" s="51"/>
      <c r="AM55" s="51"/>
      <c r="AN55" s="51"/>
      <c r="AO55" s="52">
        <f t="shared" si="17"/>
        <v>0</v>
      </c>
      <c r="AP55" s="51"/>
      <c r="AQ55" s="51"/>
      <c r="AR55" s="51"/>
      <c r="AS55" s="51"/>
      <c r="AT55" s="51"/>
      <c r="AU55" s="52">
        <f t="shared" si="18"/>
        <v>0</v>
      </c>
      <c r="AV55" s="51"/>
      <c r="AW55" s="51"/>
      <c r="AX55" s="51"/>
      <c r="AY55" s="51"/>
      <c r="AZ55" s="51"/>
      <c r="BA55" s="52">
        <f t="shared" si="19"/>
        <v>0</v>
      </c>
      <c r="BB55" s="51"/>
      <c r="BC55" s="51"/>
      <c r="BD55" s="51"/>
      <c r="BE55" s="51"/>
      <c r="BF55" s="51"/>
      <c r="BG55" s="52">
        <f t="shared" si="20"/>
        <v>0</v>
      </c>
      <c r="BH55" s="51"/>
      <c r="BI55" s="51"/>
      <c r="BJ55" s="51"/>
      <c r="BK55" s="51"/>
      <c r="BL55" s="51"/>
      <c r="BM55" s="52">
        <f t="shared" si="21"/>
        <v>0</v>
      </c>
      <c r="BN55" s="51"/>
      <c r="BO55" s="51"/>
      <c r="BP55" s="51"/>
      <c r="BQ55" s="51"/>
      <c r="BR55" s="51"/>
      <c r="BS55" s="52">
        <f t="shared" si="22"/>
        <v>0</v>
      </c>
      <c r="BT55" s="51"/>
      <c r="BU55" s="51"/>
      <c r="BV55" s="51"/>
      <c r="BW55" s="51"/>
      <c r="BX55" s="51"/>
      <c r="BY55" s="52">
        <f t="shared" si="23"/>
        <v>0</v>
      </c>
      <c r="BZ55" s="51"/>
      <c r="CA55" s="51"/>
      <c r="CB55" s="51"/>
      <c r="CC55" s="51"/>
      <c r="CD55" s="51"/>
      <c r="CE55" s="52">
        <f t="shared" si="24"/>
        <v>0</v>
      </c>
      <c r="CF55" s="51"/>
      <c r="CG55" s="51"/>
      <c r="CH55" s="51"/>
      <c r="CI55" s="51"/>
      <c r="CJ55" s="51"/>
      <c r="CK55" s="52">
        <f t="shared" si="25"/>
        <v>0</v>
      </c>
      <c r="CL55" s="35">
        <f t="shared" si="9"/>
        <v>0</v>
      </c>
      <c r="CM55" s="35">
        <f t="shared" si="9"/>
        <v>0</v>
      </c>
      <c r="CN55" s="35">
        <f t="shared" si="9"/>
        <v>0</v>
      </c>
      <c r="CO55" s="35">
        <f t="shared" si="9"/>
        <v>0</v>
      </c>
      <c r="CP55" s="35">
        <f t="shared" si="9"/>
        <v>0</v>
      </c>
      <c r="CQ55" s="35">
        <f t="shared" si="9"/>
        <v>0</v>
      </c>
      <c r="CR55" s="37">
        <f t="shared" si="88"/>
        <v>0</v>
      </c>
      <c r="CS55" s="39">
        <f t="shared" si="89"/>
        <v>0</v>
      </c>
      <c r="CT55" s="53">
        <f t="shared" si="90"/>
        <v>0</v>
      </c>
      <c r="CU55" s="39">
        <f t="shared" si="91"/>
        <v>0</v>
      </c>
      <c r="CV55" s="39">
        <f t="shared" si="92"/>
        <v>0</v>
      </c>
      <c r="CW55" s="39">
        <f t="shared" si="93"/>
        <v>0</v>
      </c>
      <c r="CX55" s="39">
        <f t="shared" si="94"/>
        <v>0</v>
      </c>
      <c r="CY55" s="39">
        <f t="shared" si="95"/>
        <v>0</v>
      </c>
      <c r="CZ55" s="39">
        <f t="shared" si="96"/>
        <v>0</v>
      </c>
      <c r="DA55" s="39">
        <f t="shared" si="97"/>
        <v>0</v>
      </c>
      <c r="DB55" s="39">
        <f t="shared" si="98"/>
        <v>0</v>
      </c>
      <c r="DC55" s="39">
        <f t="shared" si="99"/>
        <v>0</v>
      </c>
      <c r="DD55" s="39">
        <f>+HLOOKUP('Reporte Evolución Mensual'!$F$2-2,$CR$2:$DC$251, Input!$DG55, FALSE)</f>
        <v>0</v>
      </c>
      <c r="DE55" s="39">
        <f>+HLOOKUP('Reporte Evolución Mensual'!$F$2-1,$CR$2:$DC$251, Input!$DG55, FALSE)</f>
        <v>0</v>
      </c>
      <c r="DF55" s="39">
        <f>+HLOOKUP('Reporte Evolución Mensual'!$F$2,$CR$2:$DC$371, Input!$DG55, FALSE)</f>
        <v>0</v>
      </c>
      <c r="DG55" s="40">
        <f t="shared" si="37"/>
        <v>55</v>
      </c>
      <c r="DH55" s="39"/>
      <c r="DI55" s="37">
        <f t="shared" si="106"/>
        <v>0</v>
      </c>
      <c r="DJ55" s="37">
        <f t="shared" si="107"/>
        <v>0</v>
      </c>
      <c r="DK55" s="37">
        <f t="shared" si="107"/>
        <v>0</v>
      </c>
      <c r="DL55" s="37">
        <f t="shared" si="107"/>
        <v>0</v>
      </c>
      <c r="DM55" s="37">
        <f t="shared" si="107"/>
        <v>0</v>
      </c>
      <c r="DN55" s="37">
        <f t="shared" si="107"/>
        <v>0</v>
      </c>
      <c r="DO55" s="37">
        <f t="shared" si="107"/>
        <v>0</v>
      </c>
      <c r="DP55" s="37">
        <f t="shared" si="107"/>
        <v>0</v>
      </c>
      <c r="DQ55" s="37">
        <f t="shared" si="107"/>
        <v>0</v>
      </c>
      <c r="DR55" s="37">
        <f t="shared" si="107"/>
        <v>0</v>
      </c>
      <c r="DS55" s="37">
        <f t="shared" si="107"/>
        <v>0</v>
      </c>
      <c r="DT55" s="37">
        <f t="shared" si="107"/>
        <v>0</v>
      </c>
      <c r="DU55" s="16"/>
      <c r="DV55" s="345" t="s">
        <v>108</v>
      </c>
    </row>
    <row r="56" spans="1:126" ht="15" customHeight="1" x14ac:dyDescent="0.3">
      <c r="A56" s="1" t="str">
        <f t="shared" si="0"/>
        <v>ADIFSE</v>
      </c>
      <c r="B56" s="1" t="str">
        <f t="shared" si="1"/>
        <v>ADIFSE</v>
      </c>
      <c r="C56" s="1" t="str">
        <f t="shared" si="2"/>
        <v>MAY</v>
      </c>
      <c r="D56" s="16" t="s">
        <v>163</v>
      </c>
      <c r="E56" s="69" t="str">
        <f t="shared" si="87"/>
        <v>Transferencias a Empresas y Otros Entes - Resto</v>
      </c>
      <c r="F56" s="62" t="s">
        <v>218</v>
      </c>
      <c r="G56" s="16" t="s">
        <v>189</v>
      </c>
      <c r="H56" s="7" t="s">
        <v>210</v>
      </c>
      <c r="I56" s="7" t="s">
        <v>208</v>
      </c>
      <c r="J56" s="7" t="s">
        <v>166</v>
      </c>
      <c r="K56" s="51"/>
      <c r="L56" s="51"/>
      <c r="M56" s="51"/>
      <c r="N56" s="51"/>
      <c r="O56" s="51"/>
      <c r="P56" s="51"/>
      <c r="Q56" s="35">
        <f t="shared" si="13"/>
        <v>0</v>
      </c>
      <c r="R56" s="51"/>
      <c r="S56" s="51"/>
      <c r="T56" s="51"/>
      <c r="U56" s="51"/>
      <c r="V56" s="51"/>
      <c r="W56" s="52">
        <f t="shared" si="14"/>
        <v>0</v>
      </c>
      <c r="X56" s="51"/>
      <c r="Y56" s="51"/>
      <c r="Z56" s="51"/>
      <c r="AA56" s="51"/>
      <c r="AB56" s="51"/>
      <c r="AC56" s="52">
        <f t="shared" si="15"/>
        <v>0</v>
      </c>
      <c r="AD56" s="51"/>
      <c r="AE56" s="51"/>
      <c r="AF56" s="51"/>
      <c r="AG56" s="51"/>
      <c r="AH56" s="51"/>
      <c r="AI56" s="52">
        <f t="shared" si="16"/>
        <v>0</v>
      </c>
      <c r="AJ56" s="51"/>
      <c r="AK56" s="51"/>
      <c r="AL56" s="51"/>
      <c r="AM56" s="51"/>
      <c r="AN56" s="51"/>
      <c r="AO56" s="52">
        <f t="shared" si="17"/>
        <v>0</v>
      </c>
      <c r="AP56" s="51"/>
      <c r="AQ56" s="51"/>
      <c r="AR56" s="51"/>
      <c r="AS56" s="51"/>
      <c r="AT56" s="51"/>
      <c r="AU56" s="52">
        <f t="shared" si="18"/>
        <v>0</v>
      </c>
      <c r="AV56" s="51"/>
      <c r="AW56" s="51"/>
      <c r="AX56" s="51"/>
      <c r="AY56" s="51"/>
      <c r="AZ56" s="51"/>
      <c r="BA56" s="52">
        <f t="shared" si="19"/>
        <v>0</v>
      </c>
      <c r="BB56" s="51"/>
      <c r="BC56" s="51"/>
      <c r="BD56" s="51"/>
      <c r="BE56" s="51"/>
      <c r="BF56" s="51"/>
      <c r="BG56" s="52">
        <f t="shared" si="20"/>
        <v>0</v>
      </c>
      <c r="BH56" s="51"/>
      <c r="BI56" s="51"/>
      <c r="BJ56" s="51"/>
      <c r="BK56" s="51"/>
      <c r="BL56" s="51"/>
      <c r="BM56" s="52">
        <f t="shared" si="21"/>
        <v>0</v>
      </c>
      <c r="BN56" s="51"/>
      <c r="BO56" s="51"/>
      <c r="BP56" s="51"/>
      <c r="BQ56" s="51"/>
      <c r="BR56" s="51"/>
      <c r="BS56" s="52">
        <f t="shared" si="22"/>
        <v>0</v>
      </c>
      <c r="BT56" s="51"/>
      <c r="BU56" s="51"/>
      <c r="BV56" s="51"/>
      <c r="BW56" s="51"/>
      <c r="BX56" s="51"/>
      <c r="BY56" s="52">
        <f t="shared" si="23"/>
        <v>0</v>
      </c>
      <c r="BZ56" s="51"/>
      <c r="CA56" s="51"/>
      <c r="CB56" s="51"/>
      <c r="CC56" s="51"/>
      <c r="CD56" s="51"/>
      <c r="CE56" s="52">
        <f t="shared" si="24"/>
        <v>0</v>
      </c>
      <c r="CF56" s="51"/>
      <c r="CG56" s="51"/>
      <c r="CH56" s="51"/>
      <c r="CI56" s="51"/>
      <c r="CJ56" s="51"/>
      <c r="CK56" s="52">
        <f t="shared" si="25"/>
        <v>0</v>
      </c>
      <c r="CL56" s="35">
        <f t="shared" si="9"/>
        <v>0</v>
      </c>
      <c r="CM56" s="35">
        <f t="shared" si="9"/>
        <v>0</v>
      </c>
      <c r="CN56" s="35">
        <f t="shared" si="9"/>
        <v>0</v>
      </c>
      <c r="CO56" s="35">
        <f t="shared" si="9"/>
        <v>0</v>
      </c>
      <c r="CP56" s="35">
        <f t="shared" si="9"/>
        <v>0</v>
      </c>
      <c r="CQ56" s="35">
        <f t="shared" si="9"/>
        <v>0</v>
      </c>
      <c r="CR56" s="37">
        <f t="shared" si="88"/>
        <v>0</v>
      </c>
      <c r="CS56" s="39">
        <f t="shared" si="89"/>
        <v>0</v>
      </c>
      <c r="CT56" s="53">
        <f t="shared" si="90"/>
        <v>0</v>
      </c>
      <c r="CU56" s="39">
        <f t="shared" si="91"/>
        <v>0</v>
      </c>
      <c r="CV56" s="39">
        <f t="shared" si="92"/>
        <v>0</v>
      </c>
      <c r="CW56" s="39">
        <f t="shared" si="93"/>
        <v>0</v>
      </c>
      <c r="CX56" s="39">
        <f t="shared" si="94"/>
        <v>0</v>
      </c>
      <c r="CY56" s="39">
        <f t="shared" si="95"/>
        <v>0</v>
      </c>
      <c r="CZ56" s="39">
        <f t="shared" si="96"/>
        <v>0</v>
      </c>
      <c r="DA56" s="39">
        <f t="shared" si="97"/>
        <v>0</v>
      </c>
      <c r="DB56" s="39">
        <f t="shared" si="98"/>
        <v>0</v>
      </c>
      <c r="DC56" s="39">
        <f t="shared" si="99"/>
        <v>0</v>
      </c>
      <c r="DD56" s="39">
        <f>+HLOOKUP('Reporte Evolución Mensual'!$F$2-2,$CR$2:$DC$251, Input!$DG56, FALSE)</f>
        <v>0</v>
      </c>
      <c r="DE56" s="39">
        <f>+HLOOKUP('Reporte Evolución Mensual'!$F$2-1,$CR$2:$DC$251, Input!$DG56, FALSE)</f>
        <v>0</v>
      </c>
      <c r="DF56" s="39">
        <f>+HLOOKUP('Reporte Evolución Mensual'!$F$2,$CR$2:$DC$371, Input!$DG56, FALSE)</f>
        <v>0</v>
      </c>
      <c r="DG56" s="40">
        <f t="shared" si="37"/>
        <v>56</v>
      </c>
      <c r="DH56" s="39"/>
      <c r="DI56" s="37">
        <f t="shared" si="106"/>
        <v>0</v>
      </c>
      <c r="DJ56" s="37">
        <f t="shared" si="107"/>
        <v>0</v>
      </c>
      <c r="DK56" s="37">
        <f t="shared" si="107"/>
        <v>0</v>
      </c>
      <c r="DL56" s="37">
        <f t="shared" si="107"/>
        <v>0</v>
      </c>
      <c r="DM56" s="37">
        <f t="shared" si="107"/>
        <v>0</v>
      </c>
      <c r="DN56" s="37">
        <f t="shared" si="107"/>
        <v>0</v>
      </c>
      <c r="DO56" s="37">
        <f t="shared" si="107"/>
        <v>0</v>
      </c>
      <c r="DP56" s="37">
        <f t="shared" si="107"/>
        <v>0</v>
      </c>
      <c r="DQ56" s="37">
        <f t="shared" si="107"/>
        <v>0</v>
      </c>
      <c r="DR56" s="37">
        <f t="shared" si="107"/>
        <v>0</v>
      </c>
      <c r="DS56" s="37">
        <f t="shared" si="107"/>
        <v>0</v>
      </c>
      <c r="DT56" s="37">
        <f t="shared" si="107"/>
        <v>0</v>
      </c>
      <c r="DU56" s="1"/>
      <c r="DV56" s="345" t="s">
        <v>163</v>
      </c>
    </row>
    <row r="57" spans="1:126" ht="15" customHeight="1" x14ac:dyDescent="0.3">
      <c r="A57" s="1" t="str">
        <f t="shared" si="0"/>
        <v>ADIFSE</v>
      </c>
      <c r="B57" s="1" t="str">
        <f t="shared" si="1"/>
        <v>ADIFSE</v>
      </c>
      <c r="C57" s="1" t="str">
        <f t="shared" si="2"/>
        <v>MAY</v>
      </c>
      <c r="D57" s="16" t="s">
        <v>108</v>
      </c>
      <c r="E57" s="70" t="str">
        <f>CONCATENATE(H57," - ",I57)</f>
        <v>Transferencias a Empresas y Otros Entes - Empresas Públicas y Otros Entes</v>
      </c>
      <c r="F57" s="62" t="s">
        <v>219</v>
      </c>
      <c r="G57" s="16" t="s">
        <v>189</v>
      </c>
      <c r="H57" s="7" t="s">
        <v>210</v>
      </c>
      <c r="I57" s="7" t="s">
        <v>220</v>
      </c>
      <c r="J57" s="7" t="s">
        <v>166</v>
      </c>
      <c r="K57" s="37">
        <f>SUM(K52:K56)</f>
        <v>0</v>
      </c>
      <c r="L57" s="38">
        <f t="shared" ref="L57:Q57" si="112">SUM(L52:L56)</f>
        <v>0</v>
      </c>
      <c r="M57" s="38">
        <f t="shared" si="112"/>
        <v>0</v>
      </c>
      <c r="N57" s="38">
        <f t="shared" si="112"/>
        <v>0</v>
      </c>
      <c r="O57" s="38">
        <f t="shared" si="112"/>
        <v>0</v>
      </c>
      <c r="P57" s="38">
        <f t="shared" si="112"/>
        <v>0</v>
      </c>
      <c r="Q57" s="35">
        <f t="shared" si="112"/>
        <v>0</v>
      </c>
      <c r="R57" s="38">
        <f t="shared" ref="R57:AW57" si="113">SUM(R52:R56)</f>
        <v>0</v>
      </c>
      <c r="S57" s="38">
        <f t="shared" si="113"/>
        <v>0</v>
      </c>
      <c r="T57" s="38">
        <f t="shared" si="113"/>
        <v>0</v>
      </c>
      <c r="U57" s="38">
        <f t="shared" si="113"/>
        <v>0</v>
      </c>
      <c r="V57" s="38">
        <f t="shared" si="113"/>
        <v>0</v>
      </c>
      <c r="W57" s="36">
        <f t="shared" si="113"/>
        <v>0</v>
      </c>
      <c r="X57" s="38">
        <f t="shared" si="113"/>
        <v>0</v>
      </c>
      <c r="Y57" s="38">
        <f t="shared" si="113"/>
        <v>0</v>
      </c>
      <c r="Z57" s="38">
        <f t="shared" si="113"/>
        <v>0</v>
      </c>
      <c r="AA57" s="38">
        <f t="shared" si="113"/>
        <v>0</v>
      </c>
      <c r="AB57" s="38">
        <f t="shared" si="113"/>
        <v>0</v>
      </c>
      <c r="AC57" s="36">
        <f t="shared" si="113"/>
        <v>0</v>
      </c>
      <c r="AD57" s="38">
        <f t="shared" si="113"/>
        <v>0</v>
      </c>
      <c r="AE57" s="38">
        <f t="shared" si="113"/>
        <v>0</v>
      </c>
      <c r="AF57" s="38">
        <f t="shared" si="113"/>
        <v>0</v>
      </c>
      <c r="AG57" s="38">
        <f t="shared" si="113"/>
        <v>0</v>
      </c>
      <c r="AH57" s="38">
        <f t="shared" si="113"/>
        <v>0</v>
      </c>
      <c r="AI57" s="36">
        <f t="shared" si="113"/>
        <v>0</v>
      </c>
      <c r="AJ57" s="38">
        <f t="shared" si="113"/>
        <v>0</v>
      </c>
      <c r="AK57" s="38">
        <f t="shared" si="113"/>
        <v>0</v>
      </c>
      <c r="AL57" s="38">
        <f t="shared" si="113"/>
        <v>0</v>
      </c>
      <c r="AM57" s="38">
        <f t="shared" si="113"/>
        <v>0</v>
      </c>
      <c r="AN57" s="38">
        <f t="shared" si="113"/>
        <v>0</v>
      </c>
      <c r="AO57" s="36">
        <f t="shared" si="113"/>
        <v>0</v>
      </c>
      <c r="AP57" s="38">
        <f t="shared" si="113"/>
        <v>0</v>
      </c>
      <c r="AQ57" s="38">
        <f t="shared" si="113"/>
        <v>0</v>
      </c>
      <c r="AR57" s="38">
        <f t="shared" si="113"/>
        <v>0</v>
      </c>
      <c r="AS57" s="38">
        <f t="shared" si="113"/>
        <v>0</v>
      </c>
      <c r="AT57" s="38">
        <f t="shared" si="113"/>
        <v>0</v>
      </c>
      <c r="AU57" s="36">
        <f t="shared" si="113"/>
        <v>0</v>
      </c>
      <c r="AV57" s="38">
        <f t="shared" si="113"/>
        <v>0</v>
      </c>
      <c r="AW57" s="38">
        <f t="shared" si="113"/>
        <v>0</v>
      </c>
      <c r="AX57" s="38">
        <f t="shared" ref="AX57:BW57" si="114">SUM(AX52:AX56)</f>
        <v>0</v>
      </c>
      <c r="AY57" s="38">
        <f t="shared" si="114"/>
        <v>0</v>
      </c>
      <c r="AZ57" s="38">
        <f t="shared" si="114"/>
        <v>0</v>
      </c>
      <c r="BA57" s="36">
        <f t="shared" si="114"/>
        <v>0</v>
      </c>
      <c r="BB57" s="38">
        <f t="shared" si="114"/>
        <v>0</v>
      </c>
      <c r="BC57" s="38">
        <f t="shared" si="114"/>
        <v>0</v>
      </c>
      <c r="BD57" s="38">
        <f t="shared" si="114"/>
        <v>0</v>
      </c>
      <c r="BE57" s="38">
        <f t="shared" si="114"/>
        <v>0</v>
      </c>
      <c r="BF57" s="38">
        <f t="shared" si="114"/>
        <v>0</v>
      </c>
      <c r="BG57" s="36">
        <f t="shared" si="114"/>
        <v>0</v>
      </c>
      <c r="BH57" s="38">
        <f t="shared" si="114"/>
        <v>0</v>
      </c>
      <c r="BI57" s="38">
        <f t="shared" si="114"/>
        <v>0</v>
      </c>
      <c r="BJ57" s="38">
        <f t="shared" si="114"/>
        <v>0</v>
      </c>
      <c r="BK57" s="38">
        <f t="shared" si="114"/>
        <v>0</v>
      </c>
      <c r="BL57" s="38">
        <f t="shared" si="114"/>
        <v>0</v>
      </c>
      <c r="BM57" s="36">
        <f t="shared" si="114"/>
        <v>0</v>
      </c>
      <c r="BN57" s="38">
        <f t="shared" si="114"/>
        <v>0</v>
      </c>
      <c r="BO57" s="38">
        <f t="shared" si="114"/>
        <v>0</v>
      </c>
      <c r="BP57" s="38">
        <f t="shared" si="114"/>
        <v>0</v>
      </c>
      <c r="BQ57" s="38">
        <f t="shared" si="114"/>
        <v>0</v>
      </c>
      <c r="BR57" s="38">
        <f t="shared" si="114"/>
        <v>0</v>
      </c>
      <c r="BS57" s="36">
        <f t="shared" si="114"/>
        <v>0</v>
      </c>
      <c r="BT57" s="38">
        <f t="shared" si="114"/>
        <v>0</v>
      </c>
      <c r="BU57" s="38">
        <f t="shared" si="114"/>
        <v>0</v>
      </c>
      <c r="BV57" s="38">
        <f t="shared" si="114"/>
        <v>0</v>
      </c>
      <c r="BW57" s="38">
        <f t="shared" si="114"/>
        <v>0</v>
      </c>
      <c r="BX57" s="38">
        <f t="shared" ref="BX57:CK57" si="115">SUM(BX52:BX56)</f>
        <v>0</v>
      </c>
      <c r="BY57" s="36">
        <f t="shared" si="115"/>
        <v>0</v>
      </c>
      <c r="BZ57" s="38">
        <f t="shared" si="115"/>
        <v>0</v>
      </c>
      <c r="CA57" s="38">
        <f t="shared" si="115"/>
        <v>0</v>
      </c>
      <c r="CB57" s="38">
        <f t="shared" si="115"/>
        <v>0</v>
      </c>
      <c r="CC57" s="38">
        <f t="shared" si="115"/>
        <v>0</v>
      </c>
      <c r="CD57" s="38">
        <f t="shared" si="115"/>
        <v>0</v>
      </c>
      <c r="CE57" s="36">
        <f t="shared" si="115"/>
        <v>0</v>
      </c>
      <c r="CF57" s="38">
        <f t="shared" si="115"/>
        <v>0</v>
      </c>
      <c r="CG57" s="38">
        <f t="shared" si="115"/>
        <v>0</v>
      </c>
      <c r="CH57" s="38">
        <f t="shared" si="115"/>
        <v>0</v>
      </c>
      <c r="CI57" s="38">
        <f t="shared" si="115"/>
        <v>0</v>
      </c>
      <c r="CJ57" s="38">
        <f t="shared" si="115"/>
        <v>0</v>
      </c>
      <c r="CK57" s="71">
        <f t="shared" si="115"/>
        <v>0</v>
      </c>
      <c r="CL57" s="67">
        <f t="shared" si="9"/>
        <v>0</v>
      </c>
      <c r="CM57" s="67">
        <f t="shared" si="9"/>
        <v>0</v>
      </c>
      <c r="CN57" s="67">
        <f t="shared" si="9"/>
        <v>0</v>
      </c>
      <c r="CO57" s="67">
        <f t="shared" si="9"/>
        <v>0</v>
      </c>
      <c r="CP57" s="67">
        <f t="shared" si="9"/>
        <v>0</v>
      </c>
      <c r="CQ57" s="67">
        <f t="shared" si="9"/>
        <v>0</v>
      </c>
      <c r="CR57" s="37">
        <f t="shared" si="88"/>
        <v>0</v>
      </c>
      <c r="CS57" s="39">
        <f t="shared" si="89"/>
        <v>0</v>
      </c>
      <c r="CT57" s="53">
        <f t="shared" si="90"/>
        <v>0</v>
      </c>
      <c r="CU57" s="39">
        <f t="shared" si="91"/>
        <v>0</v>
      </c>
      <c r="CV57" s="39">
        <f t="shared" si="92"/>
        <v>0</v>
      </c>
      <c r="CW57" s="39">
        <f t="shared" si="93"/>
        <v>0</v>
      </c>
      <c r="CX57" s="39">
        <f t="shared" si="94"/>
        <v>0</v>
      </c>
      <c r="CY57" s="39">
        <f t="shared" si="95"/>
        <v>0</v>
      </c>
      <c r="CZ57" s="39">
        <f t="shared" si="96"/>
        <v>0</v>
      </c>
      <c r="DA57" s="39">
        <f t="shared" si="97"/>
        <v>0</v>
      </c>
      <c r="DB57" s="39">
        <f t="shared" si="98"/>
        <v>0</v>
      </c>
      <c r="DC57" s="39">
        <f t="shared" si="99"/>
        <v>0</v>
      </c>
      <c r="DD57" s="39">
        <f>+HLOOKUP('Reporte Evolución Mensual'!$F$2-2,$CR$2:$DC$251, Input!$DG57, FALSE)</f>
        <v>0</v>
      </c>
      <c r="DE57" s="39">
        <f>+HLOOKUP('Reporte Evolución Mensual'!$F$2-1,$CR$2:$DC$251, Input!$DG57, FALSE)</f>
        <v>0</v>
      </c>
      <c r="DF57" s="39">
        <f>+HLOOKUP('Reporte Evolución Mensual'!$F$2,$CR$2:$DC$371, Input!$DG57, FALSE)</f>
        <v>0</v>
      </c>
      <c r="DG57" s="40">
        <f t="shared" si="37"/>
        <v>57</v>
      </c>
      <c r="DH57" s="37"/>
      <c r="DI57" s="37">
        <f t="shared" si="106"/>
        <v>0</v>
      </c>
      <c r="DJ57" s="37">
        <f t="shared" si="107"/>
        <v>0</v>
      </c>
      <c r="DK57" s="37">
        <f t="shared" si="107"/>
        <v>0</v>
      </c>
      <c r="DL57" s="37">
        <f t="shared" si="107"/>
        <v>0</v>
      </c>
      <c r="DM57" s="37">
        <f t="shared" si="107"/>
        <v>0</v>
      </c>
      <c r="DN57" s="37">
        <f t="shared" si="107"/>
        <v>0</v>
      </c>
      <c r="DO57" s="37">
        <f t="shared" si="107"/>
        <v>0</v>
      </c>
      <c r="DP57" s="37">
        <f t="shared" si="107"/>
        <v>0</v>
      </c>
      <c r="DQ57" s="37">
        <f t="shared" si="107"/>
        <v>0</v>
      </c>
      <c r="DR57" s="37">
        <f t="shared" si="107"/>
        <v>0</v>
      </c>
      <c r="DS57" s="37">
        <f t="shared" si="107"/>
        <v>0</v>
      </c>
      <c r="DT57" s="37">
        <f t="shared" si="107"/>
        <v>0</v>
      </c>
      <c r="DU57" s="1"/>
      <c r="DV57" s="345"/>
    </row>
    <row r="58" spans="1:126" ht="15" customHeight="1" x14ac:dyDescent="0.3">
      <c r="A58" s="1" t="str">
        <f t="shared" si="0"/>
        <v>ADIFSE</v>
      </c>
      <c r="B58" s="1" t="str">
        <f t="shared" si="1"/>
        <v>ADIFSE</v>
      </c>
      <c r="C58" s="1" t="str">
        <f t="shared" si="2"/>
        <v>MAY</v>
      </c>
      <c r="D58" s="16" t="s">
        <v>163</v>
      </c>
      <c r="E58" s="69" t="str">
        <f t="shared" si="87"/>
        <v>Transferencias - Otros</v>
      </c>
      <c r="F58" s="62" t="s">
        <v>221</v>
      </c>
      <c r="G58" s="16" t="s">
        <v>189</v>
      </c>
      <c r="H58" s="7" t="s">
        <v>222</v>
      </c>
      <c r="I58" s="7" t="s">
        <v>202</v>
      </c>
      <c r="J58" s="7" t="s">
        <v>166</v>
      </c>
      <c r="K58" s="51"/>
      <c r="L58" s="51"/>
      <c r="M58" s="51"/>
      <c r="N58" s="51"/>
      <c r="O58" s="51"/>
      <c r="P58" s="51"/>
      <c r="Q58" s="35">
        <f t="shared" si="13"/>
        <v>0</v>
      </c>
      <c r="R58" s="51"/>
      <c r="S58" s="51"/>
      <c r="T58" s="51"/>
      <c r="U58" s="51"/>
      <c r="V58" s="51"/>
      <c r="W58" s="52">
        <f t="shared" si="14"/>
        <v>0</v>
      </c>
      <c r="X58" s="51"/>
      <c r="Y58" s="51"/>
      <c r="Z58" s="51"/>
      <c r="AA58" s="51"/>
      <c r="AB58" s="51"/>
      <c r="AC58" s="52">
        <f t="shared" si="15"/>
        <v>0</v>
      </c>
      <c r="AD58" s="51"/>
      <c r="AE58" s="51"/>
      <c r="AF58" s="51"/>
      <c r="AG58" s="51"/>
      <c r="AH58" s="51"/>
      <c r="AI58" s="52">
        <f t="shared" si="16"/>
        <v>0</v>
      </c>
      <c r="AJ58" s="51"/>
      <c r="AK58" s="51"/>
      <c r="AL58" s="51"/>
      <c r="AM58" s="51"/>
      <c r="AN58" s="51"/>
      <c r="AO58" s="52">
        <f t="shared" si="17"/>
        <v>0</v>
      </c>
      <c r="AP58" s="51"/>
      <c r="AQ58" s="51"/>
      <c r="AR58" s="51"/>
      <c r="AS58" s="51"/>
      <c r="AT58" s="51"/>
      <c r="AU58" s="52">
        <f t="shared" si="18"/>
        <v>0</v>
      </c>
      <c r="AV58" s="51"/>
      <c r="AW58" s="51"/>
      <c r="AX58" s="51"/>
      <c r="AY58" s="51"/>
      <c r="AZ58" s="51"/>
      <c r="BA58" s="52">
        <f t="shared" si="19"/>
        <v>0</v>
      </c>
      <c r="BB58" s="51"/>
      <c r="BC58" s="51"/>
      <c r="BD58" s="51"/>
      <c r="BE58" s="51"/>
      <c r="BF58" s="51"/>
      <c r="BG58" s="52">
        <f t="shared" si="20"/>
        <v>0</v>
      </c>
      <c r="BH58" s="51"/>
      <c r="BI58" s="51"/>
      <c r="BJ58" s="51"/>
      <c r="BK58" s="51"/>
      <c r="BL58" s="51"/>
      <c r="BM58" s="52">
        <f t="shared" si="21"/>
        <v>0</v>
      </c>
      <c r="BN58" s="51"/>
      <c r="BO58" s="51"/>
      <c r="BP58" s="51"/>
      <c r="BQ58" s="51"/>
      <c r="BR58" s="51"/>
      <c r="BS58" s="52">
        <f t="shared" si="22"/>
        <v>0</v>
      </c>
      <c r="BT58" s="51"/>
      <c r="BU58" s="51"/>
      <c r="BV58" s="51"/>
      <c r="BW58" s="51"/>
      <c r="BX58" s="51"/>
      <c r="BY58" s="52">
        <f t="shared" si="23"/>
        <v>0</v>
      </c>
      <c r="BZ58" s="51"/>
      <c r="CA58" s="51"/>
      <c r="CB58" s="51"/>
      <c r="CC58" s="51"/>
      <c r="CD58" s="51"/>
      <c r="CE58" s="52">
        <f t="shared" si="24"/>
        <v>0</v>
      </c>
      <c r="CF58" s="51"/>
      <c r="CG58" s="51"/>
      <c r="CH58" s="51"/>
      <c r="CI58" s="51"/>
      <c r="CJ58" s="51"/>
      <c r="CK58" s="52">
        <f t="shared" si="25"/>
        <v>0</v>
      </c>
      <c r="CL58" s="35">
        <f t="shared" si="9"/>
        <v>0</v>
      </c>
      <c r="CM58" s="35">
        <f t="shared" si="9"/>
        <v>0</v>
      </c>
      <c r="CN58" s="35">
        <f t="shared" si="9"/>
        <v>0</v>
      </c>
      <c r="CO58" s="35">
        <f t="shared" si="9"/>
        <v>0</v>
      </c>
      <c r="CP58" s="35">
        <f t="shared" si="9"/>
        <v>0</v>
      </c>
      <c r="CQ58" s="35">
        <f t="shared" si="9"/>
        <v>0</v>
      </c>
      <c r="CR58" s="37">
        <f t="shared" si="88"/>
        <v>0</v>
      </c>
      <c r="CS58" s="39">
        <f t="shared" si="89"/>
        <v>0</v>
      </c>
      <c r="CT58" s="53">
        <f t="shared" si="90"/>
        <v>0</v>
      </c>
      <c r="CU58" s="39">
        <f t="shared" si="91"/>
        <v>0</v>
      </c>
      <c r="CV58" s="39">
        <f t="shared" si="92"/>
        <v>0</v>
      </c>
      <c r="CW58" s="39">
        <f t="shared" si="93"/>
        <v>0</v>
      </c>
      <c r="CX58" s="39">
        <f t="shared" si="94"/>
        <v>0</v>
      </c>
      <c r="CY58" s="39">
        <f t="shared" si="95"/>
        <v>0</v>
      </c>
      <c r="CZ58" s="39">
        <f t="shared" si="96"/>
        <v>0</v>
      </c>
      <c r="DA58" s="39">
        <f t="shared" si="97"/>
        <v>0</v>
      </c>
      <c r="DB58" s="39">
        <f t="shared" si="98"/>
        <v>0</v>
      </c>
      <c r="DC58" s="39">
        <f t="shared" si="99"/>
        <v>0</v>
      </c>
      <c r="DD58" s="39">
        <f>+HLOOKUP('Reporte Evolución Mensual'!$F$2-2,$CR$2:$DC$251, Input!$DG58, FALSE)</f>
        <v>0</v>
      </c>
      <c r="DE58" s="39">
        <f>+HLOOKUP('Reporte Evolución Mensual'!$F$2-1,$CR$2:$DC$251, Input!$DG58, FALSE)</f>
        <v>0</v>
      </c>
      <c r="DF58" s="39">
        <f>+HLOOKUP('Reporte Evolución Mensual'!$F$2,$CR$2:$DC$371, Input!$DG58, FALSE)</f>
        <v>0</v>
      </c>
      <c r="DG58" s="40">
        <f t="shared" si="37"/>
        <v>58</v>
      </c>
      <c r="DH58" s="39"/>
      <c r="DI58" s="37">
        <f t="shared" si="106"/>
        <v>0</v>
      </c>
      <c r="DJ58" s="37">
        <f t="shared" si="107"/>
        <v>0</v>
      </c>
      <c r="DK58" s="37">
        <f t="shared" si="107"/>
        <v>0</v>
      </c>
      <c r="DL58" s="37">
        <f t="shared" si="107"/>
        <v>0</v>
      </c>
      <c r="DM58" s="37">
        <f t="shared" si="107"/>
        <v>0</v>
      </c>
      <c r="DN58" s="37">
        <f t="shared" si="107"/>
        <v>0</v>
      </c>
      <c r="DO58" s="37">
        <f t="shared" si="107"/>
        <v>0</v>
      </c>
      <c r="DP58" s="37">
        <f t="shared" si="107"/>
        <v>0</v>
      </c>
      <c r="DQ58" s="37">
        <f t="shared" si="107"/>
        <v>0</v>
      </c>
      <c r="DR58" s="37">
        <f t="shared" si="107"/>
        <v>0</v>
      </c>
      <c r="DS58" s="37">
        <f t="shared" si="107"/>
        <v>0</v>
      </c>
      <c r="DT58" s="37">
        <f t="shared" si="107"/>
        <v>0</v>
      </c>
      <c r="DU58" s="1"/>
      <c r="DV58" s="345" t="s">
        <v>163</v>
      </c>
    </row>
    <row r="59" spans="1:126" ht="15" customHeight="1" x14ac:dyDescent="0.3">
      <c r="A59" s="1" t="str">
        <f t="shared" si="0"/>
        <v>ADIFSE</v>
      </c>
      <c r="B59" s="1" t="str">
        <f t="shared" si="1"/>
        <v>ADIFSE</v>
      </c>
      <c r="C59" s="1" t="str">
        <f t="shared" si="2"/>
        <v>MAY</v>
      </c>
      <c r="D59" s="1" t="s">
        <v>108</v>
      </c>
      <c r="E59" s="65" t="str">
        <f t="shared" si="87"/>
        <v>Transferencias - Total</v>
      </c>
      <c r="F59" s="72">
        <v>5</v>
      </c>
      <c r="G59" s="16" t="s">
        <v>189</v>
      </c>
      <c r="H59" s="7" t="s">
        <v>222</v>
      </c>
      <c r="I59" s="7" t="s">
        <v>173</v>
      </c>
      <c r="J59" s="7" t="s">
        <v>166</v>
      </c>
      <c r="K59" s="39">
        <f>+K58+K57+K51</f>
        <v>0</v>
      </c>
      <c r="L59" s="39">
        <f t="shared" ref="L59:Q59" si="116">+L58+L57+L51</f>
        <v>0</v>
      </c>
      <c r="M59" s="39">
        <f t="shared" si="116"/>
        <v>0</v>
      </c>
      <c r="N59" s="39">
        <f t="shared" si="116"/>
        <v>0</v>
      </c>
      <c r="O59" s="39">
        <f t="shared" si="116"/>
        <v>0</v>
      </c>
      <c r="P59" s="39">
        <f t="shared" si="116"/>
        <v>0</v>
      </c>
      <c r="Q59" s="39">
        <f t="shared" si="116"/>
        <v>0</v>
      </c>
      <c r="R59" s="39">
        <f t="shared" ref="R59:AW59" si="117">+R58+R57+R51</f>
        <v>0</v>
      </c>
      <c r="S59" s="39">
        <f t="shared" si="117"/>
        <v>0</v>
      </c>
      <c r="T59" s="39">
        <f t="shared" si="117"/>
        <v>0</v>
      </c>
      <c r="U59" s="39">
        <f t="shared" si="117"/>
        <v>0</v>
      </c>
      <c r="V59" s="39">
        <f t="shared" si="117"/>
        <v>0</v>
      </c>
      <c r="W59" s="39">
        <f t="shared" si="117"/>
        <v>0</v>
      </c>
      <c r="X59" s="39">
        <f t="shared" si="117"/>
        <v>0</v>
      </c>
      <c r="Y59" s="39">
        <f t="shared" si="117"/>
        <v>0</v>
      </c>
      <c r="Z59" s="39">
        <f t="shared" si="117"/>
        <v>0</v>
      </c>
      <c r="AA59" s="39">
        <f t="shared" si="117"/>
        <v>0</v>
      </c>
      <c r="AB59" s="39">
        <f t="shared" si="117"/>
        <v>0</v>
      </c>
      <c r="AC59" s="39">
        <f t="shared" si="117"/>
        <v>0</v>
      </c>
      <c r="AD59" s="39">
        <f t="shared" si="117"/>
        <v>0</v>
      </c>
      <c r="AE59" s="39">
        <f t="shared" si="117"/>
        <v>0</v>
      </c>
      <c r="AF59" s="39">
        <f t="shared" si="117"/>
        <v>0</v>
      </c>
      <c r="AG59" s="39">
        <f t="shared" si="117"/>
        <v>0</v>
      </c>
      <c r="AH59" s="39">
        <f t="shared" si="117"/>
        <v>0</v>
      </c>
      <c r="AI59" s="39">
        <f t="shared" si="117"/>
        <v>0</v>
      </c>
      <c r="AJ59" s="39">
        <f t="shared" si="117"/>
        <v>0</v>
      </c>
      <c r="AK59" s="39">
        <f t="shared" si="117"/>
        <v>0</v>
      </c>
      <c r="AL59" s="39">
        <f t="shared" si="117"/>
        <v>0</v>
      </c>
      <c r="AM59" s="39">
        <f t="shared" si="117"/>
        <v>0</v>
      </c>
      <c r="AN59" s="39">
        <f t="shared" si="117"/>
        <v>0</v>
      </c>
      <c r="AO59" s="39">
        <f t="shared" si="117"/>
        <v>0</v>
      </c>
      <c r="AP59" s="39">
        <f t="shared" si="117"/>
        <v>0</v>
      </c>
      <c r="AQ59" s="39">
        <f t="shared" si="117"/>
        <v>0</v>
      </c>
      <c r="AR59" s="39">
        <f t="shared" si="117"/>
        <v>0</v>
      </c>
      <c r="AS59" s="39">
        <f t="shared" si="117"/>
        <v>0</v>
      </c>
      <c r="AT59" s="39">
        <f t="shared" si="117"/>
        <v>0</v>
      </c>
      <c r="AU59" s="39">
        <f t="shared" si="117"/>
        <v>0</v>
      </c>
      <c r="AV59" s="39">
        <f t="shared" si="117"/>
        <v>0</v>
      </c>
      <c r="AW59" s="39">
        <f t="shared" si="117"/>
        <v>0</v>
      </c>
      <c r="AX59" s="39">
        <f t="shared" ref="AX59:BW59" si="118">+AX58+AX57+AX51</f>
        <v>0</v>
      </c>
      <c r="AY59" s="39">
        <f t="shared" si="118"/>
        <v>0</v>
      </c>
      <c r="AZ59" s="39">
        <f t="shared" si="118"/>
        <v>0</v>
      </c>
      <c r="BA59" s="39">
        <f t="shared" si="118"/>
        <v>0</v>
      </c>
      <c r="BB59" s="39">
        <f t="shared" si="118"/>
        <v>0</v>
      </c>
      <c r="BC59" s="39">
        <f t="shared" si="118"/>
        <v>0</v>
      </c>
      <c r="BD59" s="39">
        <f t="shared" si="118"/>
        <v>0</v>
      </c>
      <c r="BE59" s="39">
        <f t="shared" si="118"/>
        <v>0</v>
      </c>
      <c r="BF59" s="39">
        <f t="shared" si="118"/>
        <v>0</v>
      </c>
      <c r="BG59" s="39">
        <f t="shared" si="118"/>
        <v>0</v>
      </c>
      <c r="BH59" s="39">
        <f t="shared" si="118"/>
        <v>0</v>
      </c>
      <c r="BI59" s="39">
        <f t="shared" si="118"/>
        <v>0</v>
      </c>
      <c r="BJ59" s="39">
        <f t="shared" si="118"/>
        <v>0</v>
      </c>
      <c r="BK59" s="39">
        <f t="shared" si="118"/>
        <v>0</v>
      </c>
      <c r="BL59" s="39">
        <f t="shared" si="118"/>
        <v>0</v>
      </c>
      <c r="BM59" s="39">
        <f t="shared" si="118"/>
        <v>0</v>
      </c>
      <c r="BN59" s="39">
        <f t="shared" si="118"/>
        <v>0</v>
      </c>
      <c r="BO59" s="39">
        <f t="shared" si="118"/>
        <v>0</v>
      </c>
      <c r="BP59" s="39">
        <f t="shared" si="118"/>
        <v>0</v>
      </c>
      <c r="BQ59" s="39">
        <f t="shared" si="118"/>
        <v>0</v>
      </c>
      <c r="BR59" s="39">
        <f t="shared" si="118"/>
        <v>0</v>
      </c>
      <c r="BS59" s="39">
        <f t="shared" si="118"/>
        <v>0</v>
      </c>
      <c r="BT59" s="39">
        <f t="shared" si="118"/>
        <v>0</v>
      </c>
      <c r="BU59" s="39">
        <f t="shared" si="118"/>
        <v>0</v>
      </c>
      <c r="BV59" s="39">
        <f t="shared" si="118"/>
        <v>0</v>
      </c>
      <c r="BW59" s="39">
        <f t="shared" si="118"/>
        <v>0</v>
      </c>
      <c r="BX59" s="39">
        <f t="shared" ref="BX59:CK59" si="119">+BX58+BX57+BX51</f>
        <v>0</v>
      </c>
      <c r="BY59" s="39">
        <f t="shared" si="119"/>
        <v>0</v>
      </c>
      <c r="BZ59" s="39">
        <f t="shared" si="119"/>
        <v>0</v>
      </c>
      <c r="CA59" s="39">
        <f t="shared" si="119"/>
        <v>0</v>
      </c>
      <c r="CB59" s="39">
        <f t="shared" si="119"/>
        <v>0</v>
      </c>
      <c r="CC59" s="39">
        <f t="shared" si="119"/>
        <v>0</v>
      </c>
      <c r="CD59" s="39">
        <f t="shared" si="119"/>
        <v>0</v>
      </c>
      <c r="CE59" s="39">
        <f t="shared" si="119"/>
        <v>0</v>
      </c>
      <c r="CF59" s="39">
        <f t="shared" si="119"/>
        <v>0</v>
      </c>
      <c r="CG59" s="39">
        <f t="shared" si="119"/>
        <v>0</v>
      </c>
      <c r="CH59" s="39">
        <f t="shared" si="119"/>
        <v>0</v>
      </c>
      <c r="CI59" s="39">
        <f t="shared" si="119"/>
        <v>0</v>
      </c>
      <c r="CJ59" s="39">
        <f t="shared" si="119"/>
        <v>0</v>
      </c>
      <c r="CK59" s="39">
        <f t="shared" si="119"/>
        <v>0</v>
      </c>
      <c r="CL59" s="39">
        <f t="shared" si="9"/>
        <v>0</v>
      </c>
      <c r="CM59" s="39">
        <f t="shared" si="9"/>
        <v>0</v>
      </c>
      <c r="CN59" s="39">
        <f t="shared" si="9"/>
        <v>0</v>
      </c>
      <c r="CO59" s="39">
        <f t="shared" si="9"/>
        <v>0</v>
      </c>
      <c r="CP59" s="39">
        <f t="shared" si="9"/>
        <v>0</v>
      </c>
      <c r="CQ59" s="39">
        <f t="shared" si="9"/>
        <v>0</v>
      </c>
      <c r="CR59" s="37">
        <f t="shared" si="88"/>
        <v>0</v>
      </c>
      <c r="CS59" s="39">
        <f t="shared" si="89"/>
        <v>0</v>
      </c>
      <c r="CT59" s="53">
        <f t="shared" si="90"/>
        <v>0</v>
      </c>
      <c r="CU59" s="39">
        <f t="shared" si="91"/>
        <v>0</v>
      </c>
      <c r="CV59" s="39">
        <f t="shared" si="92"/>
        <v>0</v>
      </c>
      <c r="CW59" s="39">
        <f t="shared" si="93"/>
        <v>0</v>
      </c>
      <c r="CX59" s="39">
        <f t="shared" si="94"/>
        <v>0</v>
      </c>
      <c r="CY59" s="39">
        <f t="shared" si="95"/>
        <v>0</v>
      </c>
      <c r="CZ59" s="39">
        <f t="shared" si="96"/>
        <v>0</v>
      </c>
      <c r="DA59" s="39">
        <f t="shared" si="97"/>
        <v>0</v>
      </c>
      <c r="DB59" s="39">
        <f t="shared" si="98"/>
        <v>0</v>
      </c>
      <c r="DC59" s="39">
        <f t="shared" si="99"/>
        <v>0</v>
      </c>
      <c r="DD59" s="39">
        <f>+HLOOKUP('Reporte Evolución Mensual'!$F$2-2,$CR$2:$DC$251, Input!$DG59, FALSE)</f>
        <v>0</v>
      </c>
      <c r="DE59" s="39">
        <f>+HLOOKUP('Reporte Evolución Mensual'!$F$2-1,$CR$2:$DC$251, Input!$DG59, FALSE)</f>
        <v>0</v>
      </c>
      <c r="DF59" s="39">
        <f>+HLOOKUP('Reporte Evolución Mensual'!$F$2,$CR$2:$DC$371, Input!$DG59, FALSE)</f>
        <v>0</v>
      </c>
      <c r="DG59" s="40">
        <f t="shared" si="37"/>
        <v>59</v>
      </c>
      <c r="DH59" s="66"/>
      <c r="DI59" s="37">
        <f t="shared" si="106"/>
        <v>0</v>
      </c>
      <c r="DJ59" s="37">
        <f t="shared" si="107"/>
        <v>0</v>
      </c>
      <c r="DK59" s="37">
        <f t="shared" si="107"/>
        <v>0</v>
      </c>
      <c r="DL59" s="37">
        <f t="shared" si="107"/>
        <v>0</v>
      </c>
      <c r="DM59" s="37">
        <f t="shared" si="107"/>
        <v>0</v>
      </c>
      <c r="DN59" s="37">
        <f t="shared" si="107"/>
        <v>0</v>
      </c>
      <c r="DO59" s="37">
        <f t="shared" si="107"/>
        <v>0</v>
      </c>
      <c r="DP59" s="37">
        <f t="shared" si="107"/>
        <v>0</v>
      </c>
      <c r="DQ59" s="37">
        <f t="shared" si="107"/>
        <v>0</v>
      </c>
      <c r="DR59" s="37">
        <f t="shared" si="107"/>
        <v>0</v>
      </c>
      <c r="DS59" s="37">
        <f t="shared" si="107"/>
        <v>0</v>
      </c>
      <c r="DT59" s="37">
        <f t="shared" si="107"/>
        <v>0</v>
      </c>
      <c r="DU59" s="1"/>
      <c r="DV59" s="345"/>
    </row>
    <row r="60" spans="1:126" ht="15" customHeight="1" x14ac:dyDescent="0.3">
      <c r="A60" s="1" t="str">
        <f t="shared" si="0"/>
        <v>ADIFSE</v>
      </c>
      <c r="B60" s="1" t="str">
        <f t="shared" si="1"/>
        <v>ADIFSE</v>
      </c>
      <c r="C60" s="1" t="str">
        <f t="shared" si="2"/>
        <v>MAY</v>
      </c>
      <c r="D60" s="1" t="s">
        <v>108</v>
      </c>
      <c r="E60" s="69" t="s">
        <v>333</v>
      </c>
      <c r="F60" s="72"/>
      <c r="G60" s="16"/>
      <c r="H60" s="7"/>
      <c r="I60" s="7"/>
      <c r="J60" s="7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7"/>
      <c r="CS60" s="39"/>
      <c r="CT60" s="53"/>
      <c r="CU60" s="39"/>
      <c r="CV60" s="39"/>
      <c r="CW60" s="39"/>
      <c r="CX60" s="39"/>
      <c r="CY60" s="39"/>
      <c r="CZ60" s="39"/>
      <c r="DA60" s="39"/>
      <c r="DB60" s="39"/>
      <c r="DC60" s="39"/>
      <c r="DD60" s="39">
        <f>+HLOOKUP('Reporte Evolución Mensual'!$F$2-2,$CR$2:$DC$251, Input!$DG60, FALSE)</f>
        <v>0</v>
      </c>
      <c r="DE60" s="39">
        <f>+HLOOKUP('Reporte Evolución Mensual'!$F$2-1,$CR$2:$DC$251, Input!$DG60, FALSE)</f>
        <v>0</v>
      </c>
      <c r="DF60" s="39">
        <f>+HLOOKUP('Reporte Evolución Mensual'!$F$2,$CR$2:$DC$371, Input!$DG60, FALSE)</f>
        <v>0</v>
      </c>
      <c r="DG60" s="40">
        <f t="shared" si="37"/>
        <v>60</v>
      </c>
      <c r="DH60" s="66"/>
      <c r="DI60" s="66"/>
      <c r="DJ60" s="66"/>
      <c r="DK60" s="66"/>
      <c r="DL60" s="39"/>
      <c r="DM60" s="39"/>
      <c r="DN60" s="39"/>
      <c r="DO60" s="58"/>
      <c r="DP60" s="58"/>
      <c r="DQ60" s="58"/>
      <c r="DR60" s="58"/>
      <c r="DS60" s="1"/>
      <c r="DT60" s="1"/>
      <c r="DU60" s="1"/>
      <c r="DV60" s="345"/>
    </row>
    <row r="61" spans="1:126" ht="15" customHeight="1" x14ac:dyDescent="0.3">
      <c r="A61" s="1" t="str">
        <f t="shared" si="0"/>
        <v>ADIFSE</v>
      </c>
      <c r="B61" s="1" t="str">
        <f t="shared" si="1"/>
        <v>ADIFSE</v>
      </c>
      <c r="C61" s="1" t="str">
        <f t="shared" si="2"/>
        <v>MAY</v>
      </c>
      <c r="D61" s="1" t="s">
        <v>163</v>
      </c>
      <c r="E61" s="69" t="str">
        <f t="shared" si="87"/>
        <v>Servicio de la Deuda - Intereses y comisiones</v>
      </c>
      <c r="F61" s="73" t="s">
        <v>223</v>
      </c>
      <c r="G61" s="16" t="s">
        <v>189</v>
      </c>
      <c r="H61" s="7" t="s">
        <v>224</v>
      </c>
      <c r="I61" s="7" t="s">
        <v>225</v>
      </c>
      <c r="J61" s="7" t="s">
        <v>166</v>
      </c>
      <c r="K61" s="74"/>
      <c r="L61" s="74"/>
      <c r="M61" s="74"/>
      <c r="N61" s="74"/>
      <c r="O61" s="74"/>
      <c r="P61" s="74"/>
      <c r="Q61" s="67">
        <f t="shared" si="13"/>
        <v>0</v>
      </c>
      <c r="R61" s="74"/>
      <c r="S61" s="74"/>
      <c r="T61" s="74"/>
      <c r="U61" s="74"/>
      <c r="V61" s="74"/>
      <c r="W61" s="68">
        <f t="shared" si="14"/>
        <v>0</v>
      </c>
      <c r="X61" s="74"/>
      <c r="Y61" s="74"/>
      <c r="Z61" s="74"/>
      <c r="AA61" s="74"/>
      <c r="AB61" s="74"/>
      <c r="AC61" s="68">
        <f t="shared" si="15"/>
        <v>0</v>
      </c>
      <c r="AD61" s="74"/>
      <c r="AE61" s="74"/>
      <c r="AF61" s="74"/>
      <c r="AG61" s="74"/>
      <c r="AH61" s="74"/>
      <c r="AI61" s="68">
        <f t="shared" si="16"/>
        <v>0</v>
      </c>
      <c r="AJ61" s="74"/>
      <c r="AK61" s="74"/>
      <c r="AL61" s="74"/>
      <c r="AM61" s="74"/>
      <c r="AN61" s="74"/>
      <c r="AO61" s="68">
        <f t="shared" si="17"/>
        <v>0</v>
      </c>
      <c r="AP61" s="74"/>
      <c r="AQ61" s="74"/>
      <c r="AR61" s="74"/>
      <c r="AS61" s="74"/>
      <c r="AT61" s="74"/>
      <c r="AU61" s="68">
        <f t="shared" ref="AU61:AU62" si="120">SUM(AP61:AT61)</f>
        <v>0</v>
      </c>
      <c r="AV61" s="74"/>
      <c r="AW61" s="74"/>
      <c r="AX61" s="74"/>
      <c r="AY61" s="74"/>
      <c r="AZ61" s="74"/>
      <c r="BA61" s="68">
        <f t="shared" ref="BA61:BA62" si="121">SUM(AV61:AZ61)</f>
        <v>0</v>
      </c>
      <c r="BB61" s="74"/>
      <c r="BC61" s="74"/>
      <c r="BD61" s="74"/>
      <c r="BE61" s="74"/>
      <c r="BF61" s="74"/>
      <c r="BG61" s="68">
        <f t="shared" ref="BG61:BG62" si="122">SUM(BB61:BF61)</f>
        <v>0</v>
      </c>
      <c r="BH61" s="74"/>
      <c r="BI61" s="74"/>
      <c r="BJ61" s="74"/>
      <c r="BK61" s="74"/>
      <c r="BL61" s="74"/>
      <c r="BM61" s="68">
        <f t="shared" ref="BM61:BM62" si="123">SUM(BH61:BL61)</f>
        <v>0</v>
      </c>
      <c r="BN61" s="74"/>
      <c r="BO61" s="74"/>
      <c r="BP61" s="74"/>
      <c r="BQ61" s="74"/>
      <c r="BR61" s="74"/>
      <c r="BS61" s="68">
        <f t="shared" ref="BS61:BS62" si="124">SUM(BN61:BR61)</f>
        <v>0</v>
      </c>
      <c r="BT61" s="74"/>
      <c r="BU61" s="74"/>
      <c r="BV61" s="74"/>
      <c r="BW61" s="74"/>
      <c r="BX61" s="74"/>
      <c r="BY61" s="68">
        <f t="shared" ref="BY61:BY62" si="125">SUM(BT61:BX61)</f>
        <v>0</v>
      </c>
      <c r="BZ61" s="74"/>
      <c r="CA61" s="74"/>
      <c r="CB61" s="74"/>
      <c r="CC61" s="74"/>
      <c r="CD61" s="74"/>
      <c r="CE61" s="68">
        <f t="shared" ref="CE61:CE62" si="126">SUM(BZ61:CD61)</f>
        <v>0</v>
      </c>
      <c r="CF61" s="74"/>
      <c r="CG61" s="74"/>
      <c r="CH61" s="74"/>
      <c r="CI61" s="74"/>
      <c r="CJ61" s="74"/>
      <c r="CK61" s="68">
        <f t="shared" ref="CK61:CK62" si="127">SUM(CF61:CJ61)</f>
        <v>0</v>
      </c>
      <c r="CL61" s="67">
        <f t="shared" si="9"/>
        <v>0</v>
      </c>
      <c r="CM61" s="67">
        <f t="shared" si="9"/>
        <v>0</v>
      </c>
      <c r="CN61" s="67">
        <f t="shared" si="9"/>
        <v>0</v>
      </c>
      <c r="CO61" s="67">
        <f t="shared" si="9"/>
        <v>0</v>
      </c>
      <c r="CP61" s="67">
        <f t="shared" si="9"/>
        <v>0</v>
      </c>
      <c r="CQ61" s="67">
        <f t="shared" si="9"/>
        <v>0</v>
      </c>
      <c r="CR61" s="37">
        <f t="shared" si="88"/>
        <v>0</v>
      </c>
      <c r="CS61" s="39">
        <f t="shared" si="89"/>
        <v>0</v>
      </c>
      <c r="CT61" s="53">
        <f t="shared" si="90"/>
        <v>0</v>
      </c>
      <c r="CU61" s="39">
        <f t="shared" si="91"/>
        <v>0</v>
      </c>
      <c r="CV61" s="39">
        <f t="shared" si="92"/>
        <v>0</v>
      </c>
      <c r="CW61" s="39">
        <f t="shared" si="93"/>
        <v>0</v>
      </c>
      <c r="CX61" s="39">
        <f t="shared" si="94"/>
        <v>0</v>
      </c>
      <c r="CY61" s="39">
        <f t="shared" si="95"/>
        <v>0</v>
      </c>
      <c r="CZ61" s="39">
        <f t="shared" si="96"/>
        <v>0</v>
      </c>
      <c r="DA61" s="39">
        <f t="shared" si="97"/>
        <v>0</v>
      </c>
      <c r="DB61" s="39">
        <f t="shared" si="98"/>
        <v>0</v>
      </c>
      <c r="DC61" s="39">
        <f t="shared" si="99"/>
        <v>0</v>
      </c>
      <c r="DD61" s="39">
        <f>+HLOOKUP('Reporte Evolución Mensual'!$F$2-2,$CR$2:$DC$251, Input!$DG61, FALSE)</f>
        <v>0</v>
      </c>
      <c r="DE61" s="39">
        <f>+HLOOKUP('Reporte Evolución Mensual'!$F$2-1,$CR$2:$DC$251, Input!$DG61, FALSE)</f>
        <v>0</v>
      </c>
      <c r="DF61" s="39">
        <f>+HLOOKUP('Reporte Evolución Mensual'!$F$2,$CR$2:$DC$371, Input!$DG61, FALSE)</f>
        <v>0</v>
      </c>
      <c r="DG61" s="40">
        <f t="shared" si="37"/>
        <v>61</v>
      </c>
      <c r="DH61" s="39"/>
      <c r="DI61" s="37">
        <f t="shared" ref="DI61:DI62" si="128">+CR61</f>
        <v>0</v>
      </c>
      <c r="DJ61" s="37">
        <f t="shared" ref="DJ61:DT62" si="129">+DI61+CS61</f>
        <v>0</v>
      </c>
      <c r="DK61" s="37">
        <f t="shared" si="129"/>
        <v>0</v>
      </c>
      <c r="DL61" s="37">
        <f t="shared" si="129"/>
        <v>0</v>
      </c>
      <c r="DM61" s="37">
        <f t="shared" si="129"/>
        <v>0</v>
      </c>
      <c r="DN61" s="37">
        <f t="shared" si="129"/>
        <v>0</v>
      </c>
      <c r="DO61" s="37">
        <f t="shared" si="129"/>
        <v>0</v>
      </c>
      <c r="DP61" s="37">
        <f t="shared" si="129"/>
        <v>0</v>
      </c>
      <c r="DQ61" s="37">
        <f t="shared" si="129"/>
        <v>0</v>
      </c>
      <c r="DR61" s="37">
        <f t="shared" si="129"/>
        <v>0</v>
      </c>
      <c r="DS61" s="37">
        <f t="shared" si="129"/>
        <v>0</v>
      </c>
      <c r="DT61" s="37">
        <f t="shared" si="129"/>
        <v>0</v>
      </c>
      <c r="DU61" s="1"/>
      <c r="DV61" s="345" t="s">
        <v>163</v>
      </c>
    </row>
    <row r="62" spans="1:126" ht="15" customHeight="1" x14ac:dyDescent="0.3">
      <c r="A62" s="1" t="str">
        <f t="shared" si="0"/>
        <v>ADIFSE</v>
      </c>
      <c r="B62" s="1" t="str">
        <f t="shared" si="1"/>
        <v>ADIFSE</v>
      </c>
      <c r="C62" s="1" t="str">
        <f t="shared" si="2"/>
        <v>MAY</v>
      </c>
      <c r="D62" s="1" t="s">
        <v>163</v>
      </c>
      <c r="E62" s="61" t="str">
        <f>H62</f>
        <v>Otros Gastos</v>
      </c>
      <c r="F62" s="73" t="s">
        <v>227</v>
      </c>
      <c r="G62" s="16" t="s">
        <v>189</v>
      </c>
      <c r="H62" s="7" t="s">
        <v>226</v>
      </c>
      <c r="I62" s="7" t="s">
        <v>226</v>
      </c>
      <c r="J62" s="7" t="s">
        <v>166</v>
      </c>
      <c r="K62" s="74"/>
      <c r="L62" s="74"/>
      <c r="M62" s="74"/>
      <c r="N62" s="74"/>
      <c r="O62" s="74"/>
      <c r="P62" s="74"/>
      <c r="Q62" s="67">
        <f t="shared" si="13"/>
        <v>0</v>
      </c>
      <c r="R62" s="74"/>
      <c r="S62" s="74"/>
      <c r="T62" s="74"/>
      <c r="U62" s="74"/>
      <c r="V62" s="74"/>
      <c r="W62" s="68">
        <f t="shared" si="14"/>
        <v>0</v>
      </c>
      <c r="X62" s="74"/>
      <c r="Y62" s="74"/>
      <c r="Z62" s="74"/>
      <c r="AA62" s="74"/>
      <c r="AB62" s="74"/>
      <c r="AC62" s="68">
        <f t="shared" si="15"/>
        <v>0</v>
      </c>
      <c r="AD62" s="74"/>
      <c r="AE62" s="74"/>
      <c r="AF62" s="74"/>
      <c r="AG62" s="74"/>
      <c r="AH62" s="74"/>
      <c r="AI62" s="68">
        <f t="shared" si="16"/>
        <v>0</v>
      </c>
      <c r="AJ62" s="74"/>
      <c r="AK62" s="74"/>
      <c r="AL62" s="74"/>
      <c r="AM62" s="74"/>
      <c r="AN62" s="74"/>
      <c r="AO62" s="68">
        <f t="shared" si="17"/>
        <v>0</v>
      </c>
      <c r="AP62" s="74"/>
      <c r="AQ62" s="74"/>
      <c r="AR62" s="74"/>
      <c r="AS62" s="74"/>
      <c r="AT62" s="74"/>
      <c r="AU62" s="68">
        <f t="shared" si="120"/>
        <v>0</v>
      </c>
      <c r="AV62" s="74"/>
      <c r="AW62" s="74"/>
      <c r="AX62" s="74"/>
      <c r="AY62" s="74"/>
      <c r="AZ62" s="74"/>
      <c r="BA62" s="68">
        <f t="shared" si="121"/>
        <v>0</v>
      </c>
      <c r="BB62" s="74"/>
      <c r="BC62" s="74"/>
      <c r="BD62" s="74"/>
      <c r="BE62" s="74"/>
      <c r="BF62" s="74"/>
      <c r="BG62" s="68">
        <f t="shared" si="122"/>
        <v>0</v>
      </c>
      <c r="BH62" s="74"/>
      <c r="BI62" s="74"/>
      <c r="BJ62" s="74"/>
      <c r="BK62" s="74"/>
      <c r="BL62" s="74"/>
      <c r="BM62" s="68">
        <f t="shared" si="123"/>
        <v>0</v>
      </c>
      <c r="BN62" s="74"/>
      <c r="BO62" s="74"/>
      <c r="BP62" s="74"/>
      <c r="BQ62" s="74"/>
      <c r="BR62" s="74"/>
      <c r="BS62" s="68">
        <f t="shared" si="124"/>
        <v>0</v>
      </c>
      <c r="BT62" s="74"/>
      <c r="BU62" s="74"/>
      <c r="BV62" s="74"/>
      <c r="BW62" s="74"/>
      <c r="BX62" s="74"/>
      <c r="BY62" s="68">
        <f t="shared" si="125"/>
        <v>0</v>
      </c>
      <c r="BZ62" s="74"/>
      <c r="CA62" s="74"/>
      <c r="CB62" s="74"/>
      <c r="CC62" s="74"/>
      <c r="CD62" s="74"/>
      <c r="CE62" s="68">
        <f t="shared" si="126"/>
        <v>0</v>
      </c>
      <c r="CF62" s="74"/>
      <c r="CG62" s="74"/>
      <c r="CH62" s="74"/>
      <c r="CI62" s="74"/>
      <c r="CJ62" s="74"/>
      <c r="CK62" s="68">
        <f t="shared" si="127"/>
        <v>0</v>
      </c>
      <c r="CL62" s="67">
        <f t="shared" si="9"/>
        <v>0</v>
      </c>
      <c r="CM62" s="67">
        <f t="shared" si="9"/>
        <v>0</v>
      </c>
      <c r="CN62" s="67">
        <f t="shared" si="9"/>
        <v>0</v>
      </c>
      <c r="CO62" s="67">
        <f t="shared" si="9"/>
        <v>0</v>
      </c>
      <c r="CP62" s="67">
        <f t="shared" si="9"/>
        <v>0</v>
      </c>
      <c r="CQ62" s="67">
        <f t="shared" si="9"/>
        <v>0</v>
      </c>
      <c r="CR62" s="37">
        <f t="shared" si="88"/>
        <v>0</v>
      </c>
      <c r="CS62" s="39">
        <f t="shared" si="89"/>
        <v>0</v>
      </c>
      <c r="CT62" s="53">
        <f t="shared" si="90"/>
        <v>0</v>
      </c>
      <c r="CU62" s="39">
        <f t="shared" si="91"/>
        <v>0</v>
      </c>
      <c r="CV62" s="39">
        <f t="shared" si="92"/>
        <v>0</v>
      </c>
      <c r="CW62" s="39">
        <f t="shared" si="93"/>
        <v>0</v>
      </c>
      <c r="CX62" s="39">
        <f t="shared" si="94"/>
        <v>0</v>
      </c>
      <c r="CY62" s="39">
        <f t="shared" si="95"/>
        <v>0</v>
      </c>
      <c r="CZ62" s="39">
        <f t="shared" si="96"/>
        <v>0</v>
      </c>
      <c r="DA62" s="39">
        <f t="shared" si="97"/>
        <v>0</v>
      </c>
      <c r="DB62" s="39">
        <f t="shared" si="98"/>
        <v>0</v>
      </c>
      <c r="DC62" s="39">
        <f t="shared" si="99"/>
        <v>0</v>
      </c>
      <c r="DD62" s="39">
        <f>+HLOOKUP('Reporte Evolución Mensual'!$F$2-2,$CR$2:$DC$251, Input!$DG62, FALSE)</f>
        <v>0</v>
      </c>
      <c r="DE62" s="39">
        <f>+HLOOKUP('Reporte Evolución Mensual'!$F$2-1,$CR$2:$DC$251, Input!$DG62, FALSE)</f>
        <v>0</v>
      </c>
      <c r="DF62" s="39">
        <f>+HLOOKUP('Reporte Evolución Mensual'!$F$2,$CR$2:$DC$371, Input!$DG62, FALSE)</f>
        <v>0</v>
      </c>
      <c r="DG62" s="40">
        <f t="shared" si="37"/>
        <v>62</v>
      </c>
      <c r="DH62" s="39"/>
      <c r="DI62" s="37">
        <f t="shared" si="128"/>
        <v>0</v>
      </c>
      <c r="DJ62" s="37">
        <f t="shared" si="129"/>
        <v>0</v>
      </c>
      <c r="DK62" s="37">
        <f t="shared" si="129"/>
        <v>0</v>
      </c>
      <c r="DL62" s="37">
        <f t="shared" si="129"/>
        <v>0</v>
      </c>
      <c r="DM62" s="37">
        <f t="shared" si="129"/>
        <v>0</v>
      </c>
      <c r="DN62" s="37">
        <f t="shared" si="129"/>
        <v>0</v>
      </c>
      <c r="DO62" s="37">
        <f t="shared" si="129"/>
        <v>0</v>
      </c>
      <c r="DP62" s="37">
        <f t="shared" si="129"/>
        <v>0</v>
      </c>
      <c r="DQ62" s="37">
        <f t="shared" si="129"/>
        <v>0</v>
      </c>
      <c r="DR62" s="37">
        <f t="shared" si="129"/>
        <v>0</v>
      </c>
      <c r="DS62" s="37">
        <f t="shared" si="129"/>
        <v>0</v>
      </c>
      <c r="DT62" s="37">
        <f t="shared" si="129"/>
        <v>0</v>
      </c>
      <c r="DU62" s="1"/>
      <c r="DV62" s="345" t="s">
        <v>163</v>
      </c>
    </row>
    <row r="63" spans="1:126" ht="15" customHeight="1" x14ac:dyDescent="0.3">
      <c r="A63" s="1" t="str">
        <f t="shared" si="0"/>
        <v>ADIFSE</v>
      </c>
      <c r="B63" s="1" t="str">
        <f t="shared" si="1"/>
        <v>ADIFSE</v>
      </c>
      <c r="C63" s="1" t="str">
        <f t="shared" si="2"/>
        <v>MAY</v>
      </c>
      <c r="D63" s="1" t="s">
        <v>108</v>
      </c>
      <c r="E63" s="69" t="s">
        <v>333</v>
      </c>
      <c r="F63" s="73"/>
      <c r="G63" s="16"/>
      <c r="H63" s="7"/>
      <c r="I63" s="7"/>
      <c r="J63" s="7"/>
      <c r="K63" s="66"/>
      <c r="L63" s="66"/>
      <c r="M63" s="66"/>
      <c r="N63" s="66"/>
      <c r="O63" s="66"/>
      <c r="P63" s="66"/>
      <c r="Q63" s="67"/>
      <c r="R63" s="66"/>
      <c r="S63" s="66"/>
      <c r="T63" s="66"/>
      <c r="U63" s="66"/>
      <c r="V63" s="66"/>
      <c r="W63" s="68"/>
      <c r="X63" s="66"/>
      <c r="Y63" s="66"/>
      <c r="Z63" s="66"/>
      <c r="AA63" s="66"/>
      <c r="AB63" s="66"/>
      <c r="AC63" s="68"/>
      <c r="AD63" s="66"/>
      <c r="AE63" s="66"/>
      <c r="AF63" s="66"/>
      <c r="AG63" s="66"/>
      <c r="AH63" s="66"/>
      <c r="AI63" s="68"/>
      <c r="AJ63" s="66"/>
      <c r="AK63" s="66"/>
      <c r="AL63" s="66"/>
      <c r="AM63" s="66"/>
      <c r="AN63" s="66"/>
      <c r="AO63" s="68"/>
      <c r="AP63" s="66"/>
      <c r="AQ63" s="66"/>
      <c r="AR63" s="66"/>
      <c r="AS63" s="66"/>
      <c r="AT63" s="66"/>
      <c r="AU63" s="68"/>
      <c r="AV63" s="66"/>
      <c r="AW63" s="66"/>
      <c r="AX63" s="66"/>
      <c r="AY63" s="66"/>
      <c r="AZ63" s="66"/>
      <c r="BA63" s="68"/>
      <c r="BB63" s="66"/>
      <c r="BC63" s="66"/>
      <c r="BD63" s="66"/>
      <c r="BE63" s="66"/>
      <c r="BF63" s="66"/>
      <c r="BG63" s="68"/>
      <c r="BH63" s="66"/>
      <c r="BI63" s="66"/>
      <c r="BJ63" s="66"/>
      <c r="BK63" s="66"/>
      <c r="BL63" s="66"/>
      <c r="BM63" s="68"/>
      <c r="BN63" s="66"/>
      <c r="BO63" s="66"/>
      <c r="BP63" s="66"/>
      <c r="BQ63" s="66"/>
      <c r="BR63" s="66"/>
      <c r="BS63" s="68"/>
      <c r="BT63" s="66"/>
      <c r="BU63" s="66"/>
      <c r="BV63" s="66"/>
      <c r="BW63" s="66"/>
      <c r="BX63" s="66"/>
      <c r="BY63" s="68"/>
      <c r="BZ63" s="66"/>
      <c r="CA63" s="66"/>
      <c r="CB63" s="66"/>
      <c r="CC63" s="66"/>
      <c r="CD63" s="66"/>
      <c r="CE63" s="68"/>
      <c r="CF63" s="66"/>
      <c r="CG63" s="66"/>
      <c r="CH63" s="66"/>
      <c r="CI63" s="66"/>
      <c r="CJ63" s="66"/>
      <c r="CK63" s="68"/>
      <c r="CL63" s="67"/>
      <c r="CM63" s="67"/>
      <c r="CN63" s="67"/>
      <c r="CO63" s="67"/>
      <c r="CP63" s="67"/>
      <c r="CQ63" s="67"/>
      <c r="CR63" s="37"/>
      <c r="CS63" s="39"/>
      <c r="CT63" s="53"/>
      <c r="CU63" s="39"/>
      <c r="CV63" s="39"/>
      <c r="CW63" s="39"/>
      <c r="CX63" s="39"/>
      <c r="CY63" s="39"/>
      <c r="CZ63" s="39"/>
      <c r="DA63" s="39"/>
      <c r="DB63" s="39"/>
      <c r="DC63" s="39"/>
      <c r="DD63" s="39">
        <f>+HLOOKUP('Reporte Evolución Mensual'!$F$2-2,$CR$2:$DC$251, Input!$DG63, FALSE)</f>
        <v>92092406.914183572</v>
      </c>
      <c r="DE63" s="39">
        <f>+HLOOKUP('Reporte Evolución Mensual'!$F$2-1,$CR$2:$DC$251, Input!$DG63, FALSE)</f>
        <v>76708307.992434159</v>
      </c>
      <c r="DF63" s="39">
        <f>+HLOOKUP('Reporte Evolución Mensual'!$F$2,$CR$2:$DC$371, Input!$DG63, FALSE)</f>
        <v>62948666.56379059</v>
      </c>
      <c r="DG63" s="40">
        <f t="shared" si="37"/>
        <v>63</v>
      </c>
      <c r="DH63" s="39"/>
      <c r="DI63" s="39"/>
      <c r="DJ63" s="39"/>
      <c r="DK63" s="39"/>
      <c r="DL63" s="39"/>
      <c r="DM63" s="39"/>
      <c r="DN63" s="39"/>
      <c r="DO63" s="58"/>
      <c r="DP63" s="58"/>
      <c r="DQ63" s="58"/>
      <c r="DR63" s="58"/>
      <c r="DS63" s="1"/>
      <c r="DT63" s="1"/>
      <c r="DU63" s="1"/>
      <c r="DV63" s="345"/>
    </row>
    <row r="64" spans="1:126" ht="15" customHeight="1" x14ac:dyDescent="0.3">
      <c r="A64" s="1" t="str">
        <f t="shared" si="0"/>
        <v>ADIFSE</v>
      </c>
      <c r="B64" s="1" t="str">
        <f t="shared" si="1"/>
        <v>ADIFSE</v>
      </c>
      <c r="C64" s="1" t="str">
        <f t="shared" si="2"/>
        <v>MAY</v>
      </c>
      <c r="D64" s="41" t="s">
        <v>108</v>
      </c>
      <c r="E64" s="65" t="str">
        <f>CONCATENATE(G64," - ",I64)</f>
        <v>Gastos Corrientes - Total</v>
      </c>
      <c r="F64" s="70"/>
      <c r="G64" s="16" t="s">
        <v>189</v>
      </c>
      <c r="H64" s="7" t="s">
        <v>173</v>
      </c>
      <c r="I64" s="7" t="s">
        <v>173</v>
      </c>
      <c r="J64" s="7" t="s">
        <v>166</v>
      </c>
      <c r="K64" s="55">
        <f>+K33+K34+K46+K59+K61+K62</f>
        <v>567375016.11333334</v>
      </c>
      <c r="L64" s="55">
        <f t="shared" ref="L64:Q64" si="130">+L33+L34+L46+L59+L61+L62</f>
        <v>590000000</v>
      </c>
      <c r="M64" s="55">
        <f t="shared" si="130"/>
        <v>120000000</v>
      </c>
      <c r="N64" s="55">
        <f t="shared" si="130"/>
        <v>0</v>
      </c>
      <c r="O64" s="55">
        <f t="shared" si="130"/>
        <v>0</v>
      </c>
      <c r="P64" s="55">
        <f t="shared" si="130"/>
        <v>0</v>
      </c>
      <c r="Q64" s="55">
        <f t="shared" si="130"/>
        <v>710000000</v>
      </c>
      <c r="R64" s="55">
        <f t="shared" ref="R64:AW64" si="131">+R33+R34+R46+R59+R61+R62</f>
        <v>61838433.030000001</v>
      </c>
      <c r="S64" s="55">
        <f t="shared" si="131"/>
        <v>0</v>
      </c>
      <c r="T64" s="55">
        <f t="shared" si="131"/>
        <v>0</v>
      </c>
      <c r="U64" s="55">
        <f t="shared" si="131"/>
        <v>0</v>
      </c>
      <c r="V64" s="55">
        <f t="shared" si="131"/>
        <v>0</v>
      </c>
      <c r="W64" s="55">
        <f t="shared" si="131"/>
        <v>61838433.030000001</v>
      </c>
      <c r="X64" s="55">
        <f t="shared" si="131"/>
        <v>57572064.567358397</v>
      </c>
      <c r="Y64" s="55">
        <f t="shared" si="131"/>
        <v>0</v>
      </c>
      <c r="Z64" s="55">
        <f t="shared" si="131"/>
        <v>0</v>
      </c>
      <c r="AA64" s="55">
        <f t="shared" si="131"/>
        <v>15000000</v>
      </c>
      <c r="AB64" s="55">
        <f t="shared" si="131"/>
        <v>0</v>
      </c>
      <c r="AC64" s="55">
        <f t="shared" si="131"/>
        <v>72572064.567358404</v>
      </c>
      <c r="AD64" s="55">
        <f t="shared" si="131"/>
        <v>77092406.914183572</v>
      </c>
      <c r="AE64" s="55">
        <f t="shared" si="131"/>
        <v>0</v>
      </c>
      <c r="AF64" s="55">
        <f t="shared" si="131"/>
        <v>0</v>
      </c>
      <c r="AG64" s="55">
        <f t="shared" si="131"/>
        <v>15000000</v>
      </c>
      <c r="AH64" s="55">
        <f t="shared" si="131"/>
        <v>0</v>
      </c>
      <c r="AI64" s="55">
        <f t="shared" si="131"/>
        <v>92092406.914183572</v>
      </c>
      <c r="AJ64" s="55">
        <f t="shared" si="131"/>
        <v>76708307.992434159</v>
      </c>
      <c r="AK64" s="55">
        <f t="shared" si="131"/>
        <v>0</v>
      </c>
      <c r="AL64" s="55">
        <f t="shared" si="131"/>
        <v>0</v>
      </c>
      <c r="AM64" s="55">
        <f t="shared" si="131"/>
        <v>0</v>
      </c>
      <c r="AN64" s="55">
        <f t="shared" si="131"/>
        <v>0</v>
      </c>
      <c r="AO64" s="55">
        <f t="shared" si="131"/>
        <v>76708307.992434159</v>
      </c>
      <c r="AP64" s="55">
        <f t="shared" si="131"/>
        <v>47948301.659425795</v>
      </c>
      <c r="AQ64" s="55">
        <f t="shared" si="131"/>
        <v>0</v>
      </c>
      <c r="AR64" s="55">
        <f t="shared" si="131"/>
        <v>0</v>
      </c>
      <c r="AS64" s="55">
        <f t="shared" si="131"/>
        <v>15000364.904364793</v>
      </c>
      <c r="AT64" s="55">
        <f t="shared" si="131"/>
        <v>0</v>
      </c>
      <c r="AU64" s="55">
        <f t="shared" si="131"/>
        <v>62948666.56379059</v>
      </c>
      <c r="AV64" s="55">
        <f t="shared" si="131"/>
        <v>47642159.007278219</v>
      </c>
      <c r="AW64" s="55">
        <f t="shared" si="131"/>
        <v>0</v>
      </c>
      <c r="AX64" s="55">
        <f t="shared" ref="AX64:BW64" si="132">+AX33+AX34+AX46+AX59+AX61+AX62</f>
        <v>0</v>
      </c>
      <c r="AY64" s="55">
        <f t="shared" si="132"/>
        <v>14999591.99147591</v>
      </c>
      <c r="AZ64" s="55">
        <f t="shared" si="132"/>
        <v>0</v>
      </c>
      <c r="BA64" s="55">
        <f t="shared" si="132"/>
        <v>62641750.998754129</v>
      </c>
      <c r="BB64" s="55">
        <f t="shared" si="132"/>
        <v>46046583.890196651</v>
      </c>
      <c r="BC64" s="55">
        <f t="shared" si="132"/>
        <v>0</v>
      </c>
      <c r="BD64" s="55">
        <f t="shared" si="132"/>
        <v>0</v>
      </c>
      <c r="BE64" s="55">
        <f t="shared" si="132"/>
        <v>15000291.991475906</v>
      </c>
      <c r="BF64" s="55">
        <f t="shared" si="132"/>
        <v>0</v>
      </c>
      <c r="BG64" s="55">
        <f t="shared" si="132"/>
        <v>61046875.881672554</v>
      </c>
      <c r="BH64" s="55">
        <f t="shared" si="132"/>
        <v>42962454.819217548</v>
      </c>
      <c r="BI64" s="55">
        <f t="shared" si="132"/>
        <v>0</v>
      </c>
      <c r="BJ64" s="55">
        <f t="shared" si="132"/>
        <v>0</v>
      </c>
      <c r="BK64" s="55">
        <f t="shared" si="132"/>
        <v>20000291.991475906</v>
      </c>
      <c r="BL64" s="55">
        <f t="shared" si="132"/>
        <v>0</v>
      </c>
      <c r="BM64" s="55">
        <f t="shared" si="132"/>
        <v>62962746.810693458</v>
      </c>
      <c r="BN64" s="55">
        <f t="shared" si="132"/>
        <v>32849368.522012874</v>
      </c>
      <c r="BO64" s="55">
        <f t="shared" si="132"/>
        <v>0</v>
      </c>
      <c r="BP64" s="55">
        <f t="shared" si="132"/>
        <v>0</v>
      </c>
      <c r="BQ64" s="55">
        <f t="shared" si="132"/>
        <v>30000262.81147591</v>
      </c>
      <c r="BR64" s="55">
        <f t="shared" si="132"/>
        <v>0</v>
      </c>
      <c r="BS64" s="55">
        <f t="shared" si="132"/>
        <v>62849631.333488785</v>
      </c>
      <c r="BT64" s="55">
        <f t="shared" si="132"/>
        <v>33258892.73210647</v>
      </c>
      <c r="BU64" s="55">
        <f t="shared" si="132"/>
        <v>0</v>
      </c>
      <c r="BV64" s="55">
        <f t="shared" si="132"/>
        <v>0</v>
      </c>
      <c r="BW64" s="55">
        <f t="shared" si="132"/>
        <v>30000262.81147591</v>
      </c>
      <c r="BX64" s="55">
        <f t="shared" ref="BX64:CK64" si="133">+BX33+BX34+BX46+BX59+BX61+BX62</f>
        <v>0</v>
      </c>
      <c r="BY64" s="55">
        <f t="shared" si="133"/>
        <v>63259155.54358238</v>
      </c>
      <c r="BZ64" s="55">
        <f t="shared" si="133"/>
        <v>33294431.73210647</v>
      </c>
      <c r="CA64" s="55">
        <f t="shared" si="133"/>
        <v>0</v>
      </c>
      <c r="CB64" s="55">
        <f t="shared" si="133"/>
        <v>0</v>
      </c>
      <c r="CC64" s="55">
        <f t="shared" si="133"/>
        <v>30000262.81147591</v>
      </c>
      <c r="CD64" s="55">
        <f t="shared" si="133"/>
        <v>0</v>
      </c>
      <c r="CE64" s="55">
        <f t="shared" si="133"/>
        <v>63294694.54358238</v>
      </c>
      <c r="CF64" s="55">
        <f t="shared" si="133"/>
        <v>37889484.615519077</v>
      </c>
      <c r="CG64" s="55">
        <f t="shared" si="133"/>
        <v>0</v>
      </c>
      <c r="CH64" s="55">
        <f t="shared" si="133"/>
        <v>0</v>
      </c>
      <c r="CI64" s="55">
        <f t="shared" si="133"/>
        <v>30000262.81147591</v>
      </c>
      <c r="CJ64" s="55">
        <f t="shared" si="133"/>
        <v>0</v>
      </c>
      <c r="CK64" s="55">
        <f t="shared" si="133"/>
        <v>67889747.426994979</v>
      </c>
      <c r="CL64" s="56">
        <f t="shared" si="9"/>
        <v>595102889.48183918</v>
      </c>
      <c r="CM64" s="56">
        <f t="shared" si="9"/>
        <v>0</v>
      </c>
      <c r="CN64" s="56">
        <f t="shared" si="9"/>
        <v>0</v>
      </c>
      <c r="CO64" s="56">
        <f t="shared" si="9"/>
        <v>215001592.12469614</v>
      </c>
      <c r="CP64" s="56">
        <f t="shared" si="9"/>
        <v>0</v>
      </c>
      <c r="CQ64" s="56">
        <f t="shared" si="9"/>
        <v>810104481.60653543</v>
      </c>
      <c r="CR64" s="37">
        <f t="shared" si="88"/>
        <v>61838433.030000001</v>
      </c>
      <c r="CS64" s="39">
        <f t="shared" si="89"/>
        <v>72572064.567358404</v>
      </c>
      <c r="CT64" s="53">
        <f t="shared" si="90"/>
        <v>92092406.914183572</v>
      </c>
      <c r="CU64" s="39">
        <f t="shared" si="91"/>
        <v>76708307.992434159</v>
      </c>
      <c r="CV64" s="39">
        <f t="shared" si="92"/>
        <v>62948666.56379059</v>
      </c>
      <c r="CW64" s="39">
        <f t="shared" si="93"/>
        <v>62641750.998754129</v>
      </c>
      <c r="CX64" s="39">
        <f t="shared" si="94"/>
        <v>61046875.881672554</v>
      </c>
      <c r="CY64" s="39">
        <f t="shared" si="95"/>
        <v>62962746.810693458</v>
      </c>
      <c r="CZ64" s="39">
        <f t="shared" si="96"/>
        <v>62849631.333488785</v>
      </c>
      <c r="DA64" s="39">
        <f t="shared" si="97"/>
        <v>63259155.54358238</v>
      </c>
      <c r="DB64" s="39">
        <f t="shared" si="98"/>
        <v>63294694.54358238</v>
      </c>
      <c r="DC64" s="39">
        <f t="shared" si="99"/>
        <v>67889747.426994979</v>
      </c>
      <c r="DD64" s="39">
        <f>+HLOOKUP('Reporte Evolución Mensual'!$F$2-2,$CR$2:$DC$251, Input!$DG64, FALSE)</f>
        <v>0</v>
      </c>
      <c r="DE64" s="39">
        <f>+HLOOKUP('Reporte Evolución Mensual'!$F$2-1,$CR$2:$DC$251, Input!$DG64, FALSE)</f>
        <v>0</v>
      </c>
      <c r="DF64" s="39">
        <f>+HLOOKUP('Reporte Evolución Mensual'!$F$2,$CR$2:$DC$371, Input!$DG64, FALSE)</f>
        <v>0</v>
      </c>
      <c r="DG64" s="40">
        <f t="shared" si="37"/>
        <v>64</v>
      </c>
      <c r="DH64" s="39"/>
      <c r="DI64" s="37">
        <f>+CR64</f>
        <v>61838433.030000001</v>
      </c>
      <c r="DJ64" s="37">
        <f>+DI64+CS64</f>
        <v>134410497.59735841</v>
      </c>
      <c r="DK64" s="37">
        <f>+DJ64+CT64</f>
        <v>226502904.51154196</v>
      </c>
      <c r="DL64" s="37">
        <f t="shared" ref="DL64:DT64" si="134">+DK64+CU64</f>
        <v>303211212.50397611</v>
      </c>
      <c r="DM64" s="37">
        <f t="shared" si="134"/>
        <v>366159879.06776667</v>
      </c>
      <c r="DN64" s="37">
        <f t="shared" si="134"/>
        <v>428801630.06652081</v>
      </c>
      <c r="DO64" s="37">
        <f t="shared" si="134"/>
        <v>489848505.94819337</v>
      </c>
      <c r="DP64" s="37">
        <f t="shared" si="134"/>
        <v>552811252.75888681</v>
      </c>
      <c r="DQ64" s="37">
        <f t="shared" si="134"/>
        <v>615660884.09237564</v>
      </c>
      <c r="DR64" s="37">
        <f t="shared" si="134"/>
        <v>678920039.63595796</v>
      </c>
      <c r="DS64" s="37">
        <f t="shared" si="134"/>
        <v>742214734.1795404</v>
      </c>
      <c r="DT64" s="37">
        <f t="shared" si="134"/>
        <v>810104481.60653543</v>
      </c>
      <c r="DU64" s="1"/>
      <c r="DV64" s="345"/>
    </row>
    <row r="65" spans="1:126" ht="15" customHeight="1" x14ac:dyDescent="0.3">
      <c r="A65" s="1" t="str">
        <f t="shared" si="0"/>
        <v>ADIFSE</v>
      </c>
      <c r="B65" s="1" t="str">
        <f t="shared" si="1"/>
        <v>ADIFSE</v>
      </c>
      <c r="C65" s="1" t="str">
        <f t="shared" si="2"/>
        <v>MAY</v>
      </c>
      <c r="D65" s="41" t="s">
        <v>108</v>
      </c>
      <c r="E65" s="65" t="s">
        <v>333</v>
      </c>
      <c r="F65" s="70"/>
      <c r="G65" s="16"/>
      <c r="H65" s="7"/>
      <c r="I65" s="7"/>
      <c r="J65" s="7"/>
      <c r="K65" s="48"/>
      <c r="L65" s="46"/>
      <c r="M65" s="46"/>
      <c r="N65" s="46"/>
      <c r="O65" s="46"/>
      <c r="P65" s="46"/>
      <c r="Q65" s="47"/>
      <c r="R65" s="46"/>
      <c r="S65" s="46"/>
      <c r="T65" s="46"/>
      <c r="U65" s="46"/>
      <c r="V65" s="46"/>
      <c r="W65" s="48"/>
      <c r="X65" s="46"/>
      <c r="Y65" s="46"/>
      <c r="Z65" s="46"/>
      <c r="AA65" s="46"/>
      <c r="AB65" s="46"/>
      <c r="AC65" s="48"/>
      <c r="AD65" s="46"/>
      <c r="AE65" s="46"/>
      <c r="AF65" s="46"/>
      <c r="AG65" s="46"/>
      <c r="AH65" s="46"/>
      <c r="AI65" s="48"/>
      <c r="AJ65" s="46"/>
      <c r="AK65" s="46"/>
      <c r="AL65" s="46"/>
      <c r="AM65" s="46"/>
      <c r="AN65" s="46"/>
      <c r="AO65" s="48"/>
      <c r="AP65" s="46"/>
      <c r="AQ65" s="46"/>
      <c r="AR65" s="46"/>
      <c r="AS65" s="46"/>
      <c r="AT65" s="46"/>
      <c r="AU65" s="48"/>
      <c r="AV65" s="46"/>
      <c r="AW65" s="46"/>
      <c r="AX65" s="46"/>
      <c r="AY65" s="46"/>
      <c r="AZ65" s="46"/>
      <c r="BA65" s="48"/>
      <c r="BB65" s="46"/>
      <c r="BC65" s="46"/>
      <c r="BD65" s="46"/>
      <c r="BE65" s="46"/>
      <c r="BF65" s="46"/>
      <c r="BG65" s="48"/>
      <c r="BH65" s="46"/>
      <c r="BI65" s="46"/>
      <c r="BJ65" s="46"/>
      <c r="BK65" s="46"/>
      <c r="BL65" s="46"/>
      <c r="BM65" s="48"/>
      <c r="BN65" s="46"/>
      <c r="BO65" s="46"/>
      <c r="BP65" s="46"/>
      <c r="BQ65" s="46"/>
      <c r="BR65" s="46"/>
      <c r="BS65" s="48"/>
      <c r="BT65" s="46"/>
      <c r="BU65" s="46"/>
      <c r="BV65" s="46"/>
      <c r="BW65" s="46"/>
      <c r="BX65" s="46"/>
      <c r="BY65" s="48"/>
      <c r="BZ65" s="46"/>
      <c r="CA65" s="46"/>
      <c r="CB65" s="46"/>
      <c r="CC65" s="46"/>
      <c r="CD65" s="46"/>
      <c r="CE65" s="48"/>
      <c r="CF65" s="46"/>
      <c r="CG65" s="46"/>
      <c r="CH65" s="46"/>
      <c r="CI65" s="46"/>
      <c r="CJ65" s="46"/>
      <c r="CK65" s="57"/>
      <c r="CL65" s="56"/>
      <c r="CM65" s="56"/>
      <c r="CN65" s="56"/>
      <c r="CO65" s="56"/>
      <c r="CP65" s="56"/>
      <c r="CQ65" s="56"/>
      <c r="CR65" s="46"/>
      <c r="CS65" s="39"/>
      <c r="CT65" s="53"/>
      <c r="CU65" s="39"/>
      <c r="CV65" s="39"/>
      <c r="CW65" s="39"/>
      <c r="CX65" s="39"/>
      <c r="CY65" s="39"/>
      <c r="CZ65" s="39"/>
      <c r="DA65" s="39"/>
      <c r="DB65" s="39"/>
      <c r="DC65" s="39"/>
      <c r="DD65" s="39">
        <f>+HLOOKUP('Reporte Evolución Mensual'!$F$2-2,$CR$2:$DC$251, Input!$DG65, FALSE)</f>
        <v>0</v>
      </c>
      <c r="DE65" s="39">
        <f>+HLOOKUP('Reporte Evolución Mensual'!$F$2-1,$CR$2:$DC$251, Input!$DG65, FALSE)</f>
        <v>0</v>
      </c>
      <c r="DF65" s="39">
        <f>+HLOOKUP('Reporte Evolución Mensual'!$F$2,$CR$2:$DC$371, Input!$DG65, FALSE)</f>
        <v>0</v>
      </c>
      <c r="DG65" s="40">
        <f t="shared" si="37"/>
        <v>65</v>
      </c>
      <c r="DH65" s="39"/>
      <c r="DI65" s="39"/>
      <c r="DJ65" s="39"/>
      <c r="DK65" s="39"/>
      <c r="DL65" s="39"/>
      <c r="DM65" s="39"/>
      <c r="DN65" s="39"/>
      <c r="DO65" s="58"/>
      <c r="DP65" s="58"/>
      <c r="DQ65" s="58"/>
      <c r="DR65" s="58"/>
      <c r="DS65" s="41"/>
      <c r="DT65" s="41"/>
      <c r="DU65" s="1"/>
      <c r="DV65" s="345"/>
    </row>
    <row r="66" spans="1:126" ht="15" customHeight="1" x14ac:dyDescent="0.3">
      <c r="A66" s="1" t="str">
        <f t="shared" si="0"/>
        <v>ADIFSE</v>
      </c>
      <c r="B66" s="1" t="str">
        <f t="shared" si="1"/>
        <v>ADIFSE</v>
      </c>
      <c r="C66" s="1" t="str">
        <f t="shared" si="2"/>
        <v>MAY</v>
      </c>
      <c r="D66" s="41" t="s">
        <v>108</v>
      </c>
      <c r="E66" s="64" t="s">
        <v>228</v>
      </c>
      <c r="F66" s="70"/>
      <c r="G66" s="16"/>
      <c r="H66" s="7"/>
      <c r="I66" s="7"/>
      <c r="J66" s="7"/>
      <c r="K66" s="48"/>
      <c r="L66" s="46"/>
      <c r="M66" s="46"/>
      <c r="N66" s="46"/>
      <c r="O66" s="46"/>
      <c r="P66" s="46"/>
      <c r="Q66" s="47"/>
      <c r="R66" s="46"/>
      <c r="S66" s="46"/>
      <c r="T66" s="46"/>
      <c r="U66" s="46"/>
      <c r="V66" s="46"/>
      <c r="W66" s="48"/>
      <c r="X66" s="46"/>
      <c r="Y66" s="46"/>
      <c r="Z66" s="46"/>
      <c r="AA66" s="46"/>
      <c r="AB66" s="46"/>
      <c r="AC66" s="48"/>
      <c r="AD66" s="46"/>
      <c r="AE66" s="46"/>
      <c r="AF66" s="46"/>
      <c r="AG66" s="46"/>
      <c r="AH66" s="46"/>
      <c r="AI66" s="48"/>
      <c r="AJ66" s="46"/>
      <c r="AK66" s="46"/>
      <c r="AL66" s="46"/>
      <c r="AM66" s="46"/>
      <c r="AN66" s="46"/>
      <c r="AO66" s="48"/>
      <c r="AP66" s="46"/>
      <c r="AQ66" s="46"/>
      <c r="AR66" s="46"/>
      <c r="AS66" s="46"/>
      <c r="AT66" s="46"/>
      <c r="AU66" s="48"/>
      <c r="AV66" s="46"/>
      <c r="AW66" s="46"/>
      <c r="AX66" s="46"/>
      <c r="AY66" s="46"/>
      <c r="AZ66" s="46"/>
      <c r="BA66" s="48"/>
      <c r="BB66" s="46"/>
      <c r="BC66" s="46"/>
      <c r="BD66" s="46"/>
      <c r="BE66" s="46"/>
      <c r="BF66" s="46"/>
      <c r="BG66" s="48"/>
      <c r="BH66" s="46"/>
      <c r="BI66" s="46"/>
      <c r="BJ66" s="46"/>
      <c r="BK66" s="46"/>
      <c r="BL66" s="46"/>
      <c r="BM66" s="48"/>
      <c r="BN66" s="46"/>
      <c r="BO66" s="46"/>
      <c r="BP66" s="46"/>
      <c r="BQ66" s="46"/>
      <c r="BR66" s="46"/>
      <c r="BS66" s="48"/>
      <c r="BT66" s="46"/>
      <c r="BU66" s="46"/>
      <c r="BV66" s="46"/>
      <c r="BW66" s="46"/>
      <c r="BX66" s="46"/>
      <c r="BY66" s="48"/>
      <c r="BZ66" s="46"/>
      <c r="CA66" s="46"/>
      <c r="CB66" s="46"/>
      <c r="CC66" s="46"/>
      <c r="CD66" s="46"/>
      <c r="CE66" s="48"/>
      <c r="CF66" s="46"/>
      <c r="CG66" s="46"/>
      <c r="CH66" s="46"/>
      <c r="CI66" s="46"/>
      <c r="CJ66" s="46"/>
      <c r="CK66" s="57"/>
      <c r="CL66" s="56"/>
      <c r="CM66" s="56"/>
      <c r="CN66" s="56"/>
      <c r="CO66" s="56"/>
      <c r="CP66" s="56"/>
      <c r="CQ66" s="56"/>
      <c r="CR66" s="46"/>
      <c r="CS66" s="39"/>
      <c r="CT66" s="53"/>
      <c r="CU66" s="39"/>
      <c r="CV66" s="39"/>
      <c r="CW66" s="39"/>
      <c r="CX66" s="39"/>
      <c r="CY66" s="39"/>
      <c r="CZ66" s="39"/>
      <c r="DA66" s="39"/>
      <c r="DB66" s="39"/>
      <c r="DC66" s="39"/>
      <c r="DD66" s="39">
        <f>+HLOOKUP('Reporte Evolución Mensual'!$F$2-2,$CR$2:$DC$251, Input!$DG66, FALSE)</f>
        <v>899619424.86878335</v>
      </c>
      <c r="DE66" s="39">
        <f>+HLOOKUP('Reporte Evolución Mensual'!$F$2-1,$CR$2:$DC$251, Input!$DG66, FALSE)</f>
        <v>886851211.68071795</v>
      </c>
      <c r="DF66" s="39">
        <f>+HLOOKUP('Reporte Evolución Mensual'!$F$2,$CR$2:$DC$371, Input!$DG66, FALSE)</f>
        <v>1043971826.2901583</v>
      </c>
      <c r="DG66" s="40">
        <f t="shared" si="37"/>
        <v>66</v>
      </c>
      <c r="DH66" s="39"/>
      <c r="DI66" s="37">
        <f t="shared" ref="DI66:DI70" si="135">+CR66</f>
        <v>0</v>
      </c>
      <c r="DJ66" s="37">
        <f t="shared" ref="DJ66:DT70" si="136">+DI66+CS66</f>
        <v>0</v>
      </c>
      <c r="DK66" s="37">
        <f t="shared" si="136"/>
        <v>0</v>
      </c>
      <c r="DL66" s="37">
        <f t="shared" si="136"/>
        <v>0</v>
      </c>
      <c r="DM66" s="37">
        <f t="shared" si="136"/>
        <v>0</v>
      </c>
      <c r="DN66" s="37">
        <f t="shared" si="136"/>
        <v>0</v>
      </c>
      <c r="DO66" s="37">
        <f t="shared" si="136"/>
        <v>0</v>
      </c>
      <c r="DP66" s="37">
        <f t="shared" si="136"/>
        <v>0</v>
      </c>
      <c r="DQ66" s="37">
        <f t="shared" si="136"/>
        <v>0</v>
      </c>
      <c r="DR66" s="37">
        <f t="shared" si="136"/>
        <v>0</v>
      </c>
      <c r="DS66" s="37">
        <f t="shared" si="136"/>
        <v>0</v>
      </c>
      <c r="DT66" s="37">
        <f t="shared" si="136"/>
        <v>0</v>
      </c>
      <c r="DU66" s="1"/>
      <c r="DV66" s="345"/>
    </row>
    <row r="67" spans="1:126" ht="15" customHeight="1" x14ac:dyDescent="0.3">
      <c r="A67" s="1" t="str">
        <f t="shared" ref="A67:A131" si="137">$F$8</f>
        <v>ADIFSE</v>
      </c>
      <c r="B67" s="1" t="str">
        <f t="shared" ref="B67:B131" si="138">$F$9</f>
        <v>ADIFSE</v>
      </c>
      <c r="C67" s="1" t="str">
        <f t="shared" ref="C67:C131" si="139">$F$7</f>
        <v>MAY</v>
      </c>
      <c r="D67" s="1" t="s">
        <v>163</v>
      </c>
      <c r="E67" s="69" t="str">
        <f>CONCATENATE(H67," - ",I67)</f>
        <v>Bienes de Uso - Obras</v>
      </c>
      <c r="F67" s="62" t="s">
        <v>229</v>
      </c>
      <c r="G67" s="16" t="s">
        <v>230</v>
      </c>
      <c r="H67" s="7" t="s">
        <v>228</v>
      </c>
      <c r="I67" s="7" t="s">
        <v>231</v>
      </c>
      <c r="J67" s="7" t="s">
        <v>166</v>
      </c>
      <c r="K67" s="51">
        <v>5430839042.3832016</v>
      </c>
      <c r="L67" s="51">
        <v>3505800000</v>
      </c>
      <c r="M67" s="51"/>
      <c r="N67" s="51"/>
      <c r="O67" s="51">
        <v>1500000000</v>
      </c>
      <c r="P67" s="51">
        <v>6026722795.1344004</v>
      </c>
      <c r="Q67" s="35">
        <f t="shared" si="13"/>
        <v>11032522795.134399</v>
      </c>
      <c r="R67" s="51">
        <v>358995615.60461777</v>
      </c>
      <c r="S67" s="51"/>
      <c r="T67" s="51"/>
      <c r="U67" s="51"/>
      <c r="V67" s="51"/>
      <c r="W67" s="52">
        <f t="shared" si="14"/>
        <v>358995615.60461777</v>
      </c>
      <c r="X67" s="51">
        <f>+'Proyeccion Transferencias'!L7</f>
        <v>438225000</v>
      </c>
      <c r="Y67" s="51"/>
      <c r="Z67" s="51"/>
      <c r="AA67" s="51">
        <f>+'Proyeccion Transferencias'!L10</f>
        <v>200000000</v>
      </c>
      <c r="AB67" s="51">
        <f>+'Proyeccion Transferencias'!L13+'Proyeccion Transferencias'!L12</f>
        <v>92546052.767767996</v>
      </c>
      <c r="AC67" s="52">
        <f t="shared" si="15"/>
        <v>730771052.76776803</v>
      </c>
      <c r="AD67" s="51">
        <f>+'Proyeccion Transferencias'!M7</f>
        <v>438225000</v>
      </c>
      <c r="AE67" s="51"/>
      <c r="AF67" s="51"/>
      <c r="AG67" s="51">
        <f>+'Proyeccion Transferencias'!M10</f>
        <v>200000000</v>
      </c>
      <c r="AH67" s="51">
        <f>+'Proyeccion Transferencias'!M13+'Proyeccion Transferencias'!M12</f>
        <v>261394424.86878335</v>
      </c>
      <c r="AI67" s="52">
        <f t="shared" si="16"/>
        <v>899619424.86878335</v>
      </c>
      <c r="AJ67" s="51">
        <v>236851211.680718</v>
      </c>
      <c r="AK67" s="51"/>
      <c r="AL67" s="51"/>
      <c r="AM67" s="51">
        <v>150000000</v>
      </c>
      <c r="AN67" s="51">
        <v>500000000</v>
      </c>
      <c r="AO67" s="52">
        <f t="shared" si="17"/>
        <v>886851211.68071795</v>
      </c>
      <c r="AP67" s="51">
        <f>+[5]Hoja1!$C$26-AT67-AS67</f>
        <v>289648363.19143629</v>
      </c>
      <c r="AQ67" s="51"/>
      <c r="AR67" s="51"/>
      <c r="AS67" s="51">
        <v>150000000</v>
      </c>
      <c r="AT67" s="51">
        <f>+[5]Hoja1!$C$24+[5]Hoja1!$C$23+[5]Hoja1!$C$25</f>
        <v>604323463.09872198</v>
      </c>
      <c r="AU67" s="52">
        <f t="shared" si="18"/>
        <v>1043971826.2901583</v>
      </c>
      <c r="AV67" s="51">
        <f>+[5]Hoja1!$D$26-AZ67-AY67</f>
        <v>485501141.61841416</v>
      </c>
      <c r="AW67" s="51"/>
      <c r="AX67" s="51"/>
      <c r="AY67" s="51">
        <v>150000000</v>
      </c>
      <c r="AZ67" s="51">
        <f>+[5]Hoja1!$D$23+[5]Hoja1!$D$24</f>
        <v>472682172.34051806</v>
      </c>
      <c r="BA67" s="52">
        <f t="shared" si="19"/>
        <v>1108183313.9589322</v>
      </c>
      <c r="BB67" s="51">
        <f>+[5]Hoja1!$E$26-BE67-BF67</f>
        <v>652004049.14677906</v>
      </c>
      <c r="BC67" s="51"/>
      <c r="BD67" s="51"/>
      <c r="BE67" s="51">
        <f>+BE26</f>
        <v>150000000</v>
      </c>
      <c r="BF67" s="51">
        <f>+[5]Hoja1!$E$23+[5]Hoja1!$E$24+[5]Hoja1!$E$25</f>
        <v>295648304.62660432</v>
      </c>
      <c r="BG67" s="52">
        <f t="shared" si="20"/>
        <v>1097652353.7733834</v>
      </c>
      <c r="BH67" s="51">
        <f>+[5]Hoja1!$F$26-BL67-BK67</f>
        <v>483685274.81260371</v>
      </c>
      <c r="BI67" s="51"/>
      <c r="BJ67" s="51"/>
      <c r="BK67" s="51">
        <f>+BK26</f>
        <v>150000000</v>
      </c>
      <c r="BL67" s="51">
        <f>+[5]Hoja1!$F$23+[5]Hoja1!$F$24+[5]Hoja1!$F$25</f>
        <v>456502479.72091794</v>
      </c>
      <c r="BM67" s="52">
        <f t="shared" si="21"/>
        <v>1090187754.5335217</v>
      </c>
      <c r="BN67" s="51">
        <f>+[5]Hoja1!$G$26-BR67-BQ67</f>
        <v>430030259.96091521</v>
      </c>
      <c r="BO67" s="51"/>
      <c r="BP67" s="51"/>
      <c r="BQ67" s="51">
        <f>+BQ26</f>
        <v>150000000</v>
      </c>
      <c r="BR67" s="51">
        <f>+[5]Hoja1!$G$23+[5]Hoja1!$G$24+[5]Hoja1!$G$25</f>
        <v>610588957.21385944</v>
      </c>
      <c r="BS67" s="52">
        <f t="shared" si="22"/>
        <v>1190619217.1747746</v>
      </c>
      <c r="BT67" s="51">
        <f>+[5]Hoja1!$H$26-BW67-BX67</f>
        <v>613303691.14505875</v>
      </c>
      <c r="BU67" s="51"/>
      <c r="BV67" s="51"/>
      <c r="BW67" s="51">
        <f>+'Proyeccion Transferencias'!T10</f>
        <v>100000000</v>
      </c>
      <c r="BX67" s="51">
        <f>+[5]Hoja1!$H$24+[5]Hoja1!$H$23+[5]Hoja1!$H$25</f>
        <v>538150982.10768926</v>
      </c>
      <c r="BY67" s="52">
        <f t="shared" si="23"/>
        <v>1251454673.252748</v>
      </c>
      <c r="BZ67" s="51">
        <f>+[5]Hoja1!$I$26-CD67-CC67</f>
        <v>293872654.51091683</v>
      </c>
      <c r="CA67" s="51"/>
      <c r="CB67" s="51"/>
      <c r="CC67" s="51">
        <f>+'Proyeccion Transferencias'!U10</f>
        <v>100000000</v>
      </c>
      <c r="CD67" s="51">
        <f>+[5]Hoja1!$I$24+[5]Hoja1!$I$23</f>
        <v>801381916.11804998</v>
      </c>
      <c r="CE67" s="52">
        <f t="shared" si="24"/>
        <v>1195254570.6289668</v>
      </c>
      <c r="CF67" s="51">
        <f>+[5]Hoja1!$J$22</f>
        <v>553532463.42286646</v>
      </c>
      <c r="CG67" s="51"/>
      <c r="CH67" s="51"/>
      <c r="CI67" s="51">
        <f>+'Proyeccion Transferencias'!V10</f>
        <v>0</v>
      </c>
      <c r="CJ67" s="448">
        <f>+[5]Hoja1!$J$24+[5]Hoja1!$J$23+[5]Hoja1!$J$25</f>
        <v>682101636.94691539</v>
      </c>
      <c r="CK67" s="68">
        <f t="shared" si="25"/>
        <v>1235634100.369782</v>
      </c>
      <c r="CL67" s="67">
        <f t="shared" si="9"/>
        <v>5273874725.094327</v>
      </c>
      <c r="CM67" s="67">
        <f t="shared" si="9"/>
        <v>0</v>
      </c>
      <c r="CN67" s="67">
        <f t="shared" si="9"/>
        <v>0</v>
      </c>
      <c r="CO67" s="67">
        <f t="shared" si="9"/>
        <v>1500000000</v>
      </c>
      <c r="CP67" s="67">
        <f t="shared" si="9"/>
        <v>5315320389.8098278</v>
      </c>
      <c r="CQ67" s="67">
        <f t="shared" si="9"/>
        <v>12089195114.904154</v>
      </c>
      <c r="CR67" s="37">
        <f t="shared" ref="CR67:CR70" si="140">+W67</f>
        <v>358995615.60461777</v>
      </c>
      <c r="CS67" s="39">
        <f t="shared" si="89"/>
        <v>730771052.76776803</v>
      </c>
      <c r="CT67" s="53">
        <f t="shared" si="90"/>
        <v>899619424.86878335</v>
      </c>
      <c r="CU67" s="39">
        <f t="shared" si="91"/>
        <v>886851211.68071795</v>
      </c>
      <c r="CV67" s="39">
        <f t="shared" si="92"/>
        <v>1043971826.2901583</v>
      </c>
      <c r="CW67" s="39">
        <f t="shared" si="93"/>
        <v>1108183313.9589322</v>
      </c>
      <c r="CX67" s="39">
        <f t="shared" si="94"/>
        <v>1097652353.7733834</v>
      </c>
      <c r="CY67" s="39">
        <f t="shared" si="95"/>
        <v>1090187754.5335217</v>
      </c>
      <c r="CZ67" s="39">
        <f t="shared" si="96"/>
        <v>1190619217.1747746</v>
      </c>
      <c r="DA67" s="39">
        <f t="shared" si="97"/>
        <v>1251454673.252748</v>
      </c>
      <c r="DB67" s="39">
        <f t="shared" si="98"/>
        <v>1195254570.6289668</v>
      </c>
      <c r="DC67" s="39">
        <f t="shared" si="99"/>
        <v>1235634100.369782</v>
      </c>
      <c r="DD67" s="39">
        <f>+HLOOKUP('Reporte Evolución Mensual'!$F$2-2,$CR$2:$DC$251, Input!$DG67, FALSE)</f>
        <v>0</v>
      </c>
      <c r="DE67" s="39">
        <f>+HLOOKUP('Reporte Evolución Mensual'!$F$2-1,$CR$2:$DC$251, Input!$DG67, FALSE)</f>
        <v>0</v>
      </c>
      <c r="DF67" s="39">
        <f>+HLOOKUP('Reporte Evolución Mensual'!$F$2,$CR$2:$DC$371, Input!$DG67, FALSE)</f>
        <v>0</v>
      </c>
      <c r="DG67" s="40">
        <f t="shared" si="37"/>
        <v>67</v>
      </c>
      <c r="DH67" s="39"/>
      <c r="DI67" s="37">
        <f t="shared" si="135"/>
        <v>358995615.60461777</v>
      </c>
      <c r="DJ67" s="37">
        <f t="shared" si="136"/>
        <v>1089766668.3723857</v>
      </c>
      <c r="DK67" s="37">
        <f t="shared" si="136"/>
        <v>1989386093.241169</v>
      </c>
      <c r="DL67" s="37">
        <f t="shared" si="136"/>
        <v>2876237304.9218869</v>
      </c>
      <c r="DM67" s="37">
        <f t="shared" si="136"/>
        <v>3920209131.2120452</v>
      </c>
      <c r="DN67" s="37">
        <f t="shared" si="136"/>
        <v>5028392445.1709776</v>
      </c>
      <c r="DO67" s="37">
        <f t="shared" si="136"/>
        <v>6126044798.9443607</v>
      </c>
      <c r="DP67" s="37">
        <f t="shared" si="136"/>
        <v>7216232553.4778824</v>
      </c>
      <c r="DQ67" s="37">
        <f t="shared" si="136"/>
        <v>8406851770.6526566</v>
      </c>
      <c r="DR67" s="37">
        <f t="shared" si="136"/>
        <v>9658306443.905405</v>
      </c>
      <c r="DS67" s="37">
        <f t="shared" si="136"/>
        <v>10853561014.534372</v>
      </c>
      <c r="DT67" s="37">
        <f t="shared" si="136"/>
        <v>12089195114.904154</v>
      </c>
      <c r="DU67" s="1"/>
      <c r="DV67" s="345" t="s">
        <v>163</v>
      </c>
    </row>
    <row r="68" spans="1:126" ht="15" customHeight="1" x14ac:dyDescent="0.3">
      <c r="A68" s="1" t="str">
        <f t="shared" si="137"/>
        <v>ADIFSE</v>
      </c>
      <c r="B68" s="1" t="str">
        <f t="shared" si="138"/>
        <v>ADIFSE</v>
      </c>
      <c r="C68" s="1" t="str">
        <f t="shared" si="139"/>
        <v>MAY</v>
      </c>
      <c r="D68" s="1" t="s">
        <v>163</v>
      </c>
      <c r="E68" s="69" t="str">
        <f>CONCATENATE(H68," - ",I68)</f>
        <v>Bienes de Uso - Maquinarias</v>
      </c>
      <c r="F68" s="62">
        <v>43</v>
      </c>
      <c r="G68" s="16" t="s">
        <v>230</v>
      </c>
      <c r="H68" s="7" t="s">
        <v>228</v>
      </c>
      <c r="I68" s="7" t="s">
        <v>232</v>
      </c>
      <c r="J68" s="7" t="s">
        <v>166</v>
      </c>
      <c r="K68" s="51"/>
      <c r="L68" s="51"/>
      <c r="M68" s="51"/>
      <c r="N68" s="51"/>
      <c r="O68" s="51"/>
      <c r="P68" s="51"/>
      <c r="Q68" s="35">
        <f t="shared" si="13"/>
        <v>0</v>
      </c>
      <c r="R68" s="51"/>
      <c r="S68" s="51"/>
      <c r="T68" s="51"/>
      <c r="U68" s="51"/>
      <c r="V68" s="51"/>
      <c r="W68" s="52">
        <f t="shared" si="14"/>
        <v>0</v>
      </c>
      <c r="X68" s="51"/>
      <c r="Y68" s="51"/>
      <c r="Z68" s="51"/>
      <c r="AA68" s="51"/>
      <c r="AB68" s="51"/>
      <c r="AC68" s="52">
        <f t="shared" si="15"/>
        <v>0</v>
      </c>
      <c r="AD68" s="51"/>
      <c r="AE68" s="51"/>
      <c r="AF68" s="51"/>
      <c r="AG68" s="51"/>
      <c r="AH68" s="51"/>
      <c r="AI68" s="52">
        <f t="shared" si="16"/>
        <v>0</v>
      </c>
      <c r="AJ68" s="51"/>
      <c r="AK68" s="51"/>
      <c r="AL68" s="51"/>
      <c r="AM68" s="51"/>
      <c r="AN68" s="51"/>
      <c r="AO68" s="52">
        <f t="shared" si="17"/>
        <v>0</v>
      </c>
      <c r="AP68" s="51"/>
      <c r="AQ68" s="51"/>
      <c r="AR68" s="51"/>
      <c r="AS68" s="51"/>
      <c r="AT68" s="51"/>
      <c r="AU68" s="52">
        <f t="shared" si="18"/>
        <v>0</v>
      </c>
      <c r="AV68" s="51"/>
      <c r="AW68" s="51"/>
      <c r="AX68" s="51"/>
      <c r="AY68" s="51"/>
      <c r="AZ68" s="51"/>
      <c r="BA68" s="52">
        <f t="shared" si="19"/>
        <v>0</v>
      </c>
      <c r="BB68" s="51"/>
      <c r="BC68" s="51"/>
      <c r="BD68" s="51"/>
      <c r="BE68" s="51"/>
      <c r="BF68" s="51"/>
      <c r="BG68" s="52">
        <f t="shared" si="20"/>
        <v>0</v>
      </c>
      <c r="BH68" s="51"/>
      <c r="BI68" s="51"/>
      <c r="BJ68" s="51"/>
      <c r="BK68" s="51"/>
      <c r="BL68" s="51"/>
      <c r="BM68" s="52">
        <f t="shared" si="21"/>
        <v>0</v>
      </c>
      <c r="BN68" s="51"/>
      <c r="BO68" s="51"/>
      <c r="BP68" s="51"/>
      <c r="BQ68" s="51"/>
      <c r="BR68" s="51"/>
      <c r="BS68" s="52">
        <f t="shared" si="22"/>
        <v>0</v>
      </c>
      <c r="BT68" s="51"/>
      <c r="BU68" s="51"/>
      <c r="BV68" s="51"/>
      <c r="BW68" s="51"/>
      <c r="BX68" s="51"/>
      <c r="BY68" s="52">
        <f t="shared" si="23"/>
        <v>0</v>
      </c>
      <c r="BZ68" s="51"/>
      <c r="CA68" s="51"/>
      <c r="CB68" s="51"/>
      <c r="CC68" s="51"/>
      <c r="CD68" s="51"/>
      <c r="CE68" s="52">
        <f t="shared" si="24"/>
        <v>0</v>
      </c>
      <c r="CF68" s="51"/>
      <c r="CG68" s="51"/>
      <c r="CH68" s="51"/>
      <c r="CI68" s="51"/>
      <c r="CJ68" s="51"/>
      <c r="CK68" s="68">
        <f t="shared" si="25"/>
        <v>0</v>
      </c>
      <c r="CL68" s="67">
        <f t="shared" si="9"/>
        <v>0</v>
      </c>
      <c r="CM68" s="67">
        <f t="shared" si="9"/>
        <v>0</v>
      </c>
      <c r="CN68" s="67">
        <f t="shared" si="9"/>
        <v>0</v>
      </c>
      <c r="CO68" s="67">
        <f t="shared" si="9"/>
        <v>0</v>
      </c>
      <c r="CP68" s="67">
        <f t="shared" si="9"/>
        <v>0</v>
      </c>
      <c r="CQ68" s="67">
        <f t="shared" si="9"/>
        <v>0</v>
      </c>
      <c r="CR68" s="37">
        <f t="shared" si="140"/>
        <v>0</v>
      </c>
      <c r="CS68" s="39">
        <f t="shared" si="89"/>
        <v>0</v>
      </c>
      <c r="CT68" s="53">
        <f t="shared" si="90"/>
        <v>0</v>
      </c>
      <c r="CU68" s="39">
        <f t="shared" si="91"/>
        <v>0</v>
      </c>
      <c r="CV68" s="39">
        <f t="shared" si="92"/>
        <v>0</v>
      </c>
      <c r="CW68" s="39">
        <f t="shared" si="93"/>
        <v>0</v>
      </c>
      <c r="CX68" s="39">
        <f t="shared" si="94"/>
        <v>0</v>
      </c>
      <c r="CY68" s="39">
        <f t="shared" si="95"/>
        <v>0</v>
      </c>
      <c r="CZ68" s="39">
        <f t="shared" si="96"/>
        <v>0</v>
      </c>
      <c r="DA68" s="39">
        <f t="shared" si="97"/>
        <v>0</v>
      </c>
      <c r="DB68" s="39">
        <f t="shared" si="98"/>
        <v>0</v>
      </c>
      <c r="DC68" s="39">
        <f t="shared" si="99"/>
        <v>0</v>
      </c>
      <c r="DD68" s="39">
        <f>+HLOOKUP('Reporte Evolución Mensual'!$F$2-2,$CR$2:$DC$251, Input!$DG68, FALSE)</f>
        <v>0</v>
      </c>
      <c r="DE68" s="39">
        <f>+HLOOKUP('Reporte Evolución Mensual'!$F$2-1,$CR$2:$DC$251, Input!$DG68, FALSE)</f>
        <v>0</v>
      </c>
      <c r="DF68" s="39">
        <f>+HLOOKUP('Reporte Evolución Mensual'!$F$2,$CR$2:$DC$371, Input!$DG68, FALSE)</f>
        <v>0</v>
      </c>
      <c r="DG68" s="40">
        <f t="shared" si="37"/>
        <v>68</v>
      </c>
      <c r="DH68" s="39"/>
      <c r="DI68" s="37">
        <f t="shared" si="135"/>
        <v>0</v>
      </c>
      <c r="DJ68" s="37">
        <f t="shared" si="136"/>
        <v>0</v>
      </c>
      <c r="DK68" s="37">
        <f t="shared" si="136"/>
        <v>0</v>
      </c>
      <c r="DL68" s="37">
        <f t="shared" si="136"/>
        <v>0</v>
      </c>
      <c r="DM68" s="37">
        <f t="shared" si="136"/>
        <v>0</v>
      </c>
      <c r="DN68" s="37">
        <f t="shared" si="136"/>
        <v>0</v>
      </c>
      <c r="DO68" s="37">
        <f t="shared" si="136"/>
        <v>0</v>
      </c>
      <c r="DP68" s="37">
        <f t="shared" si="136"/>
        <v>0</v>
      </c>
      <c r="DQ68" s="37">
        <f t="shared" si="136"/>
        <v>0</v>
      </c>
      <c r="DR68" s="37">
        <f t="shared" si="136"/>
        <v>0</v>
      </c>
      <c r="DS68" s="37">
        <f t="shared" si="136"/>
        <v>0</v>
      </c>
      <c r="DT68" s="37">
        <f t="shared" si="136"/>
        <v>0</v>
      </c>
      <c r="DU68" s="1"/>
      <c r="DV68" s="345" t="s">
        <v>163</v>
      </c>
    </row>
    <row r="69" spans="1:126" ht="15" customHeight="1" x14ac:dyDescent="0.3">
      <c r="A69" s="1" t="str">
        <f t="shared" si="137"/>
        <v>ADIFSE</v>
      </c>
      <c r="B69" s="1" t="str">
        <f t="shared" si="138"/>
        <v>ADIFSE</v>
      </c>
      <c r="C69" s="1" t="str">
        <f t="shared" si="139"/>
        <v>MAY</v>
      </c>
      <c r="D69" s="1" t="s">
        <v>163</v>
      </c>
      <c r="E69" s="69" t="str">
        <f>CONCATENATE(H69," - ",I69)</f>
        <v>Bienes de Uso - Otros Bienes de Uso/Gs de Capital</v>
      </c>
      <c r="F69" s="62" t="s">
        <v>233</v>
      </c>
      <c r="G69" s="16" t="s">
        <v>230</v>
      </c>
      <c r="H69" s="7" t="s">
        <v>228</v>
      </c>
      <c r="I69" s="7" t="s">
        <v>234</v>
      </c>
      <c r="J69" s="7" t="s">
        <v>166</v>
      </c>
      <c r="K69" s="51">
        <v>3605603</v>
      </c>
      <c r="L69" s="51"/>
      <c r="M69" s="51"/>
      <c r="N69" s="51"/>
      <c r="O69" s="51"/>
      <c r="P69" s="51">
        <v>0</v>
      </c>
      <c r="Q69" s="35">
        <f t="shared" si="13"/>
        <v>0</v>
      </c>
      <c r="R69" s="51"/>
      <c r="S69" s="51"/>
      <c r="T69" s="51"/>
      <c r="U69" s="51"/>
      <c r="V69" s="51"/>
      <c r="W69" s="52">
        <f t="shared" si="14"/>
        <v>0</v>
      </c>
      <c r="X69" s="51"/>
      <c r="Y69" s="51"/>
      <c r="Z69" s="51"/>
      <c r="AA69" s="51"/>
      <c r="AB69" s="51"/>
      <c r="AC69" s="52">
        <f t="shared" si="15"/>
        <v>0</v>
      </c>
      <c r="AD69" s="51"/>
      <c r="AE69" s="51"/>
      <c r="AF69" s="51"/>
      <c r="AG69" s="51"/>
      <c r="AH69" s="51"/>
      <c r="AI69" s="52">
        <f t="shared" si="16"/>
        <v>0</v>
      </c>
      <c r="AJ69" s="51"/>
      <c r="AK69" s="51"/>
      <c r="AL69" s="51"/>
      <c r="AM69" s="51"/>
      <c r="AN69" s="51"/>
      <c r="AO69" s="52">
        <f t="shared" si="17"/>
        <v>0</v>
      </c>
      <c r="AP69" s="51"/>
      <c r="AQ69" s="51"/>
      <c r="AR69" s="51"/>
      <c r="AS69" s="51"/>
      <c r="AT69" s="51"/>
      <c r="AU69" s="52">
        <f t="shared" si="18"/>
        <v>0</v>
      </c>
      <c r="AV69" s="51"/>
      <c r="AW69" s="51"/>
      <c r="AX69" s="51"/>
      <c r="AY69" s="51"/>
      <c r="AZ69" s="51"/>
      <c r="BA69" s="52">
        <f t="shared" si="19"/>
        <v>0</v>
      </c>
      <c r="BB69" s="51"/>
      <c r="BC69" s="51"/>
      <c r="BD69" s="51"/>
      <c r="BE69" s="51"/>
      <c r="BF69" s="51"/>
      <c r="BG69" s="52">
        <f t="shared" si="20"/>
        <v>0</v>
      </c>
      <c r="BH69" s="51"/>
      <c r="BI69" s="51"/>
      <c r="BJ69" s="51"/>
      <c r="BK69" s="51"/>
      <c r="BL69" s="51"/>
      <c r="BM69" s="52">
        <f t="shared" si="21"/>
        <v>0</v>
      </c>
      <c r="BN69" s="51"/>
      <c r="BO69" s="51"/>
      <c r="BP69" s="51"/>
      <c r="BQ69" s="51"/>
      <c r="BR69" s="51"/>
      <c r="BS69" s="52">
        <f t="shared" si="22"/>
        <v>0</v>
      </c>
      <c r="BT69" s="51"/>
      <c r="BU69" s="51"/>
      <c r="BV69" s="51"/>
      <c r="BW69" s="51"/>
      <c r="BX69" s="51"/>
      <c r="BY69" s="52">
        <f t="shared" si="23"/>
        <v>0</v>
      </c>
      <c r="BZ69" s="51"/>
      <c r="CA69" s="51"/>
      <c r="CB69" s="51"/>
      <c r="CC69" s="51"/>
      <c r="CD69" s="51"/>
      <c r="CE69" s="52">
        <f t="shared" si="24"/>
        <v>0</v>
      </c>
      <c r="CF69" s="51"/>
      <c r="CG69" s="51"/>
      <c r="CH69" s="51"/>
      <c r="CI69" s="51"/>
      <c r="CJ69" s="51"/>
      <c r="CK69" s="68">
        <f t="shared" si="25"/>
        <v>0</v>
      </c>
      <c r="CL69" s="67">
        <f t="shared" si="9"/>
        <v>0</v>
      </c>
      <c r="CM69" s="67">
        <f t="shared" si="9"/>
        <v>0</v>
      </c>
      <c r="CN69" s="67">
        <f t="shared" si="9"/>
        <v>0</v>
      </c>
      <c r="CO69" s="67">
        <f t="shared" ref="CO69:CQ129" si="141">+U69+AA69+AG69+AM69+AS69+AY69+BE69+BK69+BQ69+BW69+CC69+CI69</f>
        <v>0</v>
      </c>
      <c r="CP69" s="67">
        <f t="shared" si="141"/>
        <v>0</v>
      </c>
      <c r="CQ69" s="67">
        <f t="shared" si="141"/>
        <v>0</v>
      </c>
      <c r="CR69" s="37">
        <f t="shared" si="140"/>
        <v>0</v>
      </c>
      <c r="CS69" s="39">
        <f t="shared" si="89"/>
        <v>0</v>
      </c>
      <c r="CT69" s="53">
        <f t="shared" si="90"/>
        <v>0</v>
      </c>
      <c r="CU69" s="39">
        <f t="shared" si="91"/>
        <v>0</v>
      </c>
      <c r="CV69" s="39">
        <f t="shared" si="92"/>
        <v>0</v>
      </c>
      <c r="CW69" s="39">
        <f t="shared" si="93"/>
        <v>0</v>
      </c>
      <c r="CX69" s="39">
        <f t="shared" si="94"/>
        <v>0</v>
      </c>
      <c r="CY69" s="39">
        <f t="shared" si="95"/>
        <v>0</v>
      </c>
      <c r="CZ69" s="39">
        <f t="shared" si="96"/>
        <v>0</v>
      </c>
      <c r="DA69" s="39">
        <f t="shared" si="97"/>
        <v>0</v>
      </c>
      <c r="DB69" s="39">
        <f t="shared" si="98"/>
        <v>0</v>
      </c>
      <c r="DC69" s="39">
        <f t="shared" si="99"/>
        <v>0</v>
      </c>
      <c r="DD69" s="39">
        <f>+HLOOKUP('Reporte Evolución Mensual'!$F$2-2,$CR$2:$DC$251, Input!$DG69, FALSE)</f>
        <v>899619424.86878335</v>
      </c>
      <c r="DE69" s="39">
        <f>+HLOOKUP('Reporte Evolución Mensual'!$F$2-1,$CR$2:$DC$251, Input!$DG69, FALSE)</f>
        <v>886851211.68071795</v>
      </c>
      <c r="DF69" s="39">
        <f>+HLOOKUP('Reporte Evolución Mensual'!$F$2,$CR$2:$DC$371, Input!$DG69, FALSE)</f>
        <v>1043971826.2901583</v>
      </c>
      <c r="DG69" s="40">
        <f t="shared" si="37"/>
        <v>69</v>
      </c>
      <c r="DH69" s="39"/>
      <c r="DI69" s="37">
        <f t="shared" si="135"/>
        <v>0</v>
      </c>
      <c r="DJ69" s="37">
        <f t="shared" si="136"/>
        <v>0</v>
      </c>
      <c r="DK69" s="37">
        <f t="shared" si="136"/>
        <v>0</v>
      </c>
      <c r="DL69" s="37">
        <f t="shared" si="136"/>
        <v>0</v>
      </c>
      <c r="DM69" s="37">
        <f t="shared" si="136"/>
        <v>0</v>
      </c>
      <c r="DN69" s="37">
        <f t="shared" si="136"/>
        <v>0</v>
      </c>
      <c r="DO69" s="37">
        <f t="shared" si="136"/>
        <v>0</v>
      </c>
      <c r="DP69" s="37">
        <f t="shared" si="136"/>
        <v>0</v>
      </c>
      <c r="DQ69" s="37">
        <f t="shared" si="136"/>
        <v>0</v>
      </c>
      <c r="DR69" s="37">
        <f t="shared" si="136"/>
        <v>0</v>
      </c>
      <c r="DS69" s="37">
        <f t="shared" si="136"/>
        <v>0</v>
      </c>
      <c r="DT69" s="37">
        <f t="shared" si="136"/>
        <v>0</v>
      </c>
      <c r="DU69" s="1"/>
      <c r="DV69" s="345" t="s">
        <v>163</v>
      </c>
    </row>
    <row r="70" spans="1:126" ht="15" customHeight="1" x14ac:dyDescent="0.3">
      <c r="A70" s="1" t="str">
        <f t="shared" si="137"/>
        <v>ADIFSE</v>
      </c>
      <c r="B70" s="1" t="str">
        <f t="shared" si="138"/>
        <v>ADIFSE</v>
      </c>
      <c r="C70" s="1" t="str">
        <f t="shared" si="139"/>
        <v>MAY</v>
      </c>
      <c r="D70" s="41" t="s">
        <v>108</v>
      </c>
      <c r="E70" s="65" t="str">
        <f>CONCATENATE(H70," - ",I70)</f>
        <v>Bienes de Uso - Total</v>
      </c>
      <c r="F70" s="70">
        <v>4</v>
      </c>
      <c r="G70" s="16" t="s">
        <v>230</v>
      </c>
      <c r="H70" s="7" t="s">
        <v>228</v>
      </c>
      <c r="I70" s="7" t="s">
        <v>173</v>
      </c>
      <c r="J70" s="7" t="s">
        <v>166</v>
      </c>
      <c r="K70" s="46">
        <f t="shared" ref="K70:Q70" si="142">SUM(K67:K69)</f>
        <v>5434444645.3832016</v>
      </c>
      <c r="L70" s="46">
        <f t="shared" si="142"/>
        <v>3505800000</v>
      </c>
      <c r="M70" s="46">
        <f t="shared" si="142"/>
        <v>0</v>
      </c>
      <c r="N70" s="46">
        <f t="shared" si="142"/>
        <v>0</v>
      </c>
      <c r="O70" s="46">
        <f t="shared" si="142"/>
        <v>1500000000</v>
      </c>
      <c r="P70" s="46">
        <f t="shared" si="142"/>
        <v>6026722795.1344004</v>
      </c>
      <c r="Q70" s="56">
        <f t="shared" si="142"/>
        <v>11032522795.134399</v>
      </c>
      <c r="R70" s="46">
        <f t="shared" ref="R70:AW70" si="143">SUM(R67:R69)</f>
        <v>358995615.60461777</v>
      </c>
      <c r="S70" s="46">
        <f t="shared" si="143"/>
        <v>0</v>
      </c>
      <c r="T70" s="46">
        <f t="shared" si="143"/>
        <v>0</v>
      </c>
      <c r="U70" s="46">
        <f t="shared" si="143"/>
        <v>0</v>
      </c>
      <c r="V70" s="46">
        <f t="shared" si="143"/>
        <v>0</v>
      </c>
      <c r="W70" s="57">
        <f t="shared" si="143"/>
        <v>358995615.60461777</v>
      </c>
      <c r="X70" s="46">
        <f t="shared" si="143"/>
        <v>438225000</v>
      </c>
      <c r="Y70" s="46">
        <f t="shared" si="143"/>
        <v>0</v>
      </c>
      <c r="Z70" s="46">
        <f t="shared" si="143"/>
        <v>0</v>
      </c>
      <c r="AA70" s="46">
        <f t="shared" si="143"/>
        <v>200000000</v>
      </c>
      <c r="AB70" s="46">
        <f t="shared" si="143"/>
        <v>92546052.767767996</v>
      </c>
      <c r="AC70" s="57">
        <f t="shared" si="143"/>
        <v>730771052.76776803</v>
      </c>
      <c r="AD70" s="46">
        <f t="shared" si="143"/>
        <v>438225000</v>
      </c>
      <c r="AE70" s="46">
        <f t="shared" si="143"/>
        <v>0</v>
      </c>
      <c r="AF70" s="46">
        <f t="shared" si="143"/>
        <v>0</v>
      </c>
      <c r="AG70" s="46">
        <f t="shared" si="143"/>
        <v>200000000</v>
      </c>
      <c r="AH70" s="46">
        <f t="shared" si="143"/>
        <v>261394424.86878335</v>
      </c>
      <c r="AI70" s="57">
        <f t="shared" si="143"/>
        <v>899619424.86878335</v>
      </c>
      <c r="AJ70" s="46">
        <f t="shared" si="143"/>
        <v>236851211.680718</v>
      </c>
      <c r="AK70" s="46">
        <f t="shared" si="143"/>
        <v>0</v>
      </c>
      <c r="AL70" s="46">
        <f t="shared" si="143"/>
        <v>0</v>
      </c>
      <c r="AM70" s="46">
        <f t="shared" si="143"/>
        <v>150000000</v>
      </c>
      <c r="AN70" s="46">
        <f t="shared" si="143"/>
        <v>500000000</v>
      </c>
      <c r="AO70" s="57">
        <f t="shared" si="143"/>
        <v>886851211.68071795</v>
      </c>
      <c r="AP70" s="46">
        <f t="shared" si="143"/>
        <v>289648363.19143629</v>
      </c>
      <c r="AQ70" s="46">
        <f t="shared" si="143"/>
        <v>0</v>
      </c>
      <c r="AR70" s="46">
        <f t="shared" si="143"/>
        <v>0</v>
      </c>
      <c r="AS70" s="46">
        <f t="shared" si="143"/>
        <v>150000000</v>
      </c>
      <c r="AT70" s="46">
        <f t="shared" si="143"/>
        <v>604323463.09872198</v>
      </c>
      <c r="AU70" s="57">
        <f t="shared" si="143"/>
        <v>1043971826.2901583</v>
      </c>
      <c r="AV70" s="46">
        <f t="shared" si="143"/>
        <v>485501141.61841416</v>
      </c>
      <c r="AW70" s="46">
        <f t="shared" si="143"/>
        <v>0</v>
      </c>
      <c r="AX70" s="46">
        <f t="shared" ref="AX70:BV70" si="144">SUM(AX67:AX69)</f>
        <v>0</v>
      </c>
      <c r="AY70" s="46">
        <f t="shared" si="144"/>
        <v>150000000</v>
      </c>
      <c r="AZ70" s="46">
        <f t="shared" si="144"/>
        <v>472682172.34051806</v>
      </c>
      <c r="BA70" s="57">
        <f t="shared" si="144"/>
        <v>1108183313.9589322</v>
      </c>
      <c r="BB70" s="46">
        <f t="shared" si="144"/>
        <v>652004049.14677906</v>
      </c>
      <c r="BC70" s="46">
        <f t="shared" si="144"/>
        <v>0</v>
      </c>
      <c r="BD70" s="46">
        <f t="shared" si="144"/>
        <v>0</v>
      </c>
      <c r="BE70" s="46">
        <f t="shared" si="144"/>
        <v>150000000</v>
      </c>
      <c r="BF70" s="46">
        <f t="shared" si="144"/>
        <v>295648304.62660432</v>
      </c>
      <c r="BG70" s="57">
        <f t="shared" si="144"/>
        <v>1097652353.7733834</v>
      </c>
      <c r="BH70" s="46">
        <f t="shared" si="144"/>
        <v>483685274.81260371</v>
      </c>
      <c r="BI70" s="46">
        <f t="shared" si="144"/>
        <v>0</v>
      </c>
      <c r="BJ70" s="46">
        <f t="shared" si="144"/>
        <v>0</v>
      </c>
      <c r="BK70" s="46">
        <f t="shared" si="144"/>
        <v>150000000</v>
      </c>
      <c r="BL70" s="46">
        <f t="shared" si="144"/>
        <v>456502479.72091794</v>
      </c>
      <c r="BM70" s="57">
        <f t="shared" si="144"/>
        <v>1090187754.5335217</v>
      </c>
      <c r="BN70" s="46">
        <f t="shared" si="144"/>
        <v>430030259.96091521</v>
      </c>
      <c r="BO70" s="46">
        <f t="shared" si="144"/>
        <v>0</v>
      </c>
      <c r="BP70" s="46">
        <f t="shared" si="144"/>
        <v>0</v>
      </c>
      <c r="BQ70" s="46">
        <f t="shared" si="144"/>
        <v>150000000</v>
      </c>
      <c r="BR70" s="46">
        <f t="shared" si="144"/>
        <v>610588957.21385944</v>
      </c>
      <c r="BS70" s="57">
        <f t="shared" si="144"/>
        <v>1190619217.1747746</v>
      </c>
      <c r="BT70" s="46">
        <f t="shared" si="144"/>
        <v>613303691.14505875</v>
      </c>
      <c r="BU70" s="46">
        <f t="shared" si="144"/>
        <v>0</v>
      </c>
      <c r="BV70" s="46">
        <f t="shared" si="144"/>
        <v>0</v>
      </c>
      <c r="BW70" s="46">
        <f t="shared" ref="BW70:CK70" si="145">SUM(BW67:BW69)</f>
        <v>100000000</v>
      </c>
      <c r="BX70" s="46">
        <f t="shared" si="145"/>
        <v>538150982.10768926</v>
      </c>
      <c r="BY70" s="57">
        <f t="shared" si="145"/>
        <v>1251454673.252748</v>
      </c>
      <c r="BZ70" s="46">
        <f t="shared" si="145"/>
        <v>293872654.51091683</v>
      </c>
      <c r="CA70" s="46">
        <f t="shared" si="145"/>
        <v>0</v>
      </c>
      <c r="CB70" s="46">
        <f t="shared" si="145"/>
        <v>0</v>
      </c>
      <c r="CC70" s="46">
        <f t="shared" si="145"/>
        <v>100000000</v>
      </c>
      <c r="CD70" s="46">
        <f t="shared" si="145"/>
        <v>801381916.11804998</v>
      </c>
      <c r="CE70" s="57">
        <f t="shared" si="145"/>
        <v>1195254570.6289668</v>
      </c>
      <c r="CF70" s="46">
        <f t="shared" si="145"/>
        <v>553532463.42286646</v>
      </c>
      <c r="CG70" s="46">
        <f t="shared" si="145"/>
        <v>0</v>
      </c>
      <c r="CH70" s="46">
        <f t="shared" si="145"/>
        <v>0</v>
      </c>
      <c r="CI70" s="46">
        <f t="shared" si="145"/>
        <v>0</v>
      </c>
      <c r="CJ70" s="46">
        <f t="shared" si="145"/>
        <v>682101636.94691539</v>
      </c>
      <c r="CK70" s="57">
        <f t="shared" si="145"/>
        <v>1235634100.369782</v>
      </c>
      <c r="CL70" s="56">
        <f t="shared" ref="CL70:CN129" si="146">+R70+X70+AD70+AJ70+AP70+AV70+BB70+BH70+BN70+BT70+BZ70+CF70</f>
        <v>5273874725.094327</v>
      </c>
      <c r="CM70" s="56">
        <f t="shared" si="146"/>
        <v>0</v>
      </c>
      <c r="CN70" s="56">
        <f t="shared" si="146"/>
        <v>0</v>
      </c>
      <c r="CO70" s="56">
        <f t="shared" si="141"/>
        <v>1500000000</v>
      </c>
      <c r="CP70" s="56">
        <f t="shared" si="141"/>
        <v>5315320389.8098278</v>
      </c>
      <c r="CQ70" s="56">
        <f t="shared" si="141"/>
        <v>12089195114.904154</v>
      </c>
      <c r="CR70" s="37">
        <f t="shared" si="140"/>
        <v>358995615.60461777</v>
      </c>
      <c r="CS70" s="39">
        <f t="shared" si="89"/>
        <v>730771052.76776803</v>
      </c>
      <c r="CT70" s="53">
        <f t="shared" si="90"/>
        <v>899619424.86878335</v>
      </c>
      <c r="CU70" s="39">
        <f t="shared" si="91"/>
        <v>886851211.68071795</v>
      </c>
      <c r="CV70" s="39">
        <f t="shared" si="92"/>
        <v>1043971826.2901583</v>
      </c>
      <c r="CW70" s="39">
        <f t="shared" si="93"/>
        <v>1108183313.9589322</v>
      </c>
      <c r="CX70" s="39">
        <f t="shared" si="94"/>
        <v>1097652353.7733834</v>
      </c>
      <c r="CY70" s="39">
        <f t="shared" si="95"/>
        <v>1090187754.5335217</v>
      </c>
      <c r="CZ70" s="39">
        <f t="shared" si="96"/>
        <v>1190619217.1747746</v>
      </c>
      <c r="DA70" s="39">
        <f t="shared" si="97"/>
        <v>1251454673.252748</v>
      </c>
      <c r="DB70" s="39">
        <f t="shared" si="98"/>
        <v>1195254570.6289668</v>
      </c>
      <c r="DC70" s="39">
        <f t="shared" si="99"/>
        <v>1235634100.369782</v>
      </c>
      <c r="DD70" s="39">
        <f>+HLOOKUP('Reporte Evolución Mensual'!$F$2-2,$CR$2:$DC$251, Input!$DG70, FALSE)</f>
        <v>0</v>
      </c>
      <c r="DE70" s="39">
        <f>+HLOOKUP('Reporte Evolución Mensual'!$F$2-1,$CR$2:$DC$251, Input!$DG70, FALSE)</f>
        <v>0</v>
      </c>
      <c r="DF70" s="39">
        <f>+HLOOKUP('Reporte Evolución Mensual'!$F$2,$CR$2:$DC$371, Input!$DG70, FALSE)</f>
        <v>0</v>
      </c>
      <c r="DG70" s="40">
        <f t="shared" si="37"/>
        <v>70</v>
      </c>
      <c r="DH70" s="39"/>
      <c r="DI70" s="37">
        <f t="shared" si="135"/>
        <v>358995615.60461777</v>
      </c>
      <c r="DJ70" s="37">
        <f t="shared" si="136"/>
        <v>1089766668.3723857</v>
      </c>
      <c r="DK70" s="37">
        <f t="shared" si="136"/>
        <v>1989386093.241169</v>
      </c>
      <c r="DL70" s="37">
        <f t="shared" si="136"/>
        <v>2876237304.9218869</v>
      </c>
      <c r="DM70" s="37">
        <f t="shared" si="136"/>
        <v>3920209131.2120452</v>
      </c>
      <c r="DN70" s="37">
        <f t="shared" si="136"/>
        <v>5028392445.1709776</v>
      </c>
      <c r="DO70" s="37">
        <f t="shared" si="136"/>
        <v>6126044798.9443607</v>
      </c>
      <c r="DP70" s="37">
        <f t="shared" si="136"/>
        <v>7216232553.4778824</v>
      </c>
      <c r="DQ70" s="37">
        <f t="shared" si="136"/>
        <v>8406851770.6526566</v>
      </c>
      <c r="DR70" s="37">
        <f t="shared" si="136"/>
        <v>9658306443.905405</v>
      </c>
      <c r="DS70" s="37">
        <f t="shared" si="136"/>
        <v>10853561014.534372</v>
      </c>
      <c r="DT70" s="37">
        <f t="shared" si="136"/>
        <v>12089195114.904154</v>
      </c>
      <c r="DU70" s="1"/>
      <c r="DV70" s="345"/>
    </row>
    <row r="71" spans="1:126" ht="15" customHeight="1" x14ac:dyDescent="0.3">
      <c r="A71" s="1" t="str">
        <f t="shared" si="137"/>
        <v>ADIFSE</v>
      </c>
      <c r="B71" s="1" t="str">
        <f t="shared" si="138"/>
        <v>ADIFSE</v>
      </c>
      <c r="C71" s="1" t="str">
        <f t="shared" si="139"/>
        <v>MAY</v>
      </c>
      <c r="D71" s="41" t="s">
        <v>108</v>
      </c>
      <c r="E71" s="65" t="s">
        <v>333</v>
      </c>
      <c r="F71" s="70"/>
      <c r="G71" s="16"/>
      <c r="H71" s="7"/>
      <c r="I71" s="7"/>
      <c r="J71" s="7"/>
      <c r="K71" s="48"/>
      <c r="L71" s="46"/>
      <c r="M71" s="46"/>
      <c r="N71" s="46"/>
      <c r="O71" s="46"/>
      <c r="P71" s="46"/>
      <c r="Q71" s="56"/>
      <c r="R71" s="46"/>
      <c r="S71" s="46"/>
      <c r="T71" s="46"/>
      <c r="U71" s="46"/>
      <c r="V71" s="46"/>
      <c r="W71" s="57"/>
      <c r="X71" s="46"/>
      <c r="Y71" s="46"/>
      <c r="Z71" s="46"/>
      <c r="AA71" s="46"/>
      <c r="AB71" s="46"/>
      <c r="AC71" s="57"/>
      <c r="AD71" s="46"/>
      <c r="AE71" s="46"/>
      <c r="AF71" s="46"/>
      <c r="AG71" s="46"/>
      <c r="AH71" s="46"/>
      <c r="AI71" s="57"/>
      <c r="AJ71" s="46"/>
      <c r="AK71" s="46"/>
      <c r="AL71" s="46"/>
      <c r="AM71" s="46"/>
      <c r="AN71" s="46"/>
      <c r="AO71" s="57"/>
      <c r="AP71" s="46"/>
      <c r="AQ71" s="46"/>
      <c r="AR71" s="46"/>
      <c r="AS71" s="46"/>
      <c r="AT71" s="46"/>
      <c r="AU71" s="57"/>
      <c r="AV71" s="46"/>
      <c r="AW71" s="46"/>
      <c r="AX71" s="46"/>
      <c r="AY71" s="46"/>
      <c r="AZ71" s="46"/>
      <c r="BA71" s="57"/>
      <c r="BB71" s="46"/>
      <c r="BC71" s="46"/>
      <c r="BD71" s="46"/>
      <c r="BE71" s="46"/>
      <c r="BF71" s="46"/>
      <c r="BG71" s="57"/>
      <c r="BH71" s="46"/>
      <c r="BI71" s="46"/>
      <c r="BJ71" s="46"/>
      <c r="BK71" s="46"/>
      <c r="BL71" s="46"/>
      <c r="BM71" s="57"/>
      <c r="BN71" s="46"/>
      <c r="BO71" s="46"/>
      <c r="BP71" s="46"/>
      <c r="BQ71" s="46"/>
      <c r="BR71" s="46"/>
      <c r="BS71" s="57"/>
      <c r="BT71" s="46"/>
      <c r="BU71" s="46"/>
      <c r="BV71" s="46"/>
      <c r="BW71" s="46"/>
      <c r="BX71" s="46"/>
      <c r="BY71" s="57"/>
      <c r="BZ71" s="46"/>
      <c r="CA71" s="46"/>
      <c r="CB71" s="46"/>
      <c r="CC71" s="46"/>
      <c r="CD71" s="46"/>
      <c r="CE71" s="57"/>
      <c r="CF71" s="46"/>
      <c r="CG71" s="46"/>
      <c r="CH71" s="46"/>
      <c r="CI71" s="46"/>
      <c r="CJ71" s="46"/>
      <c r="CK71" s="57"/>
      <c r="CL71" s="56"/>
      <c r="CM71" s="56"/>
      <c r="CN71" s="56"/>
      <c r="CO71" s="56"/>
      <c r="CP71" s="56"/>
      <c r="CQ71" s="56"/>
      <c r="CR71" s="46"/>
      <c r="CS71" s="39"/>
      <c r="CT71" s="53"/>
      <c r="CU71" s="39"/>
      <c r="CV71" s="39"/>
      <c r="CW71" s="39"/>
      <c r="CX71" s="39"/>
      <c r="CY71" s="39"/>
      <c r="CZ71" s="39"/>
      <c r="DA71" s="39"/>
      <c r="DB71" s="39"/>
      <c r="DC71" s="39"/>
      <c r="DD71" s="39">
        <f>+HLOOKUP('Reporte Evolución Mensual'!$F$2-2,$CR$2:$DC$251, Input!$DG71, FALSE)</f>
        <v>0</v>
      </c>
      <c r="DE71" s="39">
        <f>+HLOOKUP('Reporte Evolución Mensual'!$F$2-1,$CR$2:$DC$251, Input!$DG71, FALSE)</f>
        <v>0</v>
      </c>
      <c r="DF71" s="39">
        <f>+HLOOKUP('Reporte Evolución Mensual'!$F$2,$CR$2:$DC$371, Input!$DG71, FALSE)</f>
        <v>0</v>
      </c>
      <c r="DG71" s="40">
        <f t="shared" si="37"/>
        <v>71</v>
      </c>
      <c r="DH71" s="39"/>
      <c r="DI71" s="39"/>
      <c r="DJ71" s="39"/>
      <c r="DK71" s="39"/>
      <c r="DL71" s="39"/>
      <c r="DM71" s="39"/>
      <c r="DN71" s="39"/>
      <c r="DO71" s="58"/>
      <c r="DP71" s="58"/>
      <c r="DQ71" s="58"/>
      <c r="DR71" s="58"/>
      <c r="DS71" s="41"/>
      <c r="DT71" s="41"/>
      <c r="DU71" s="1"/>
      <c r="DV71" s="345"/>
    </row>
    <row r="72" spans="1:126" ht="15" customHeight="1" x14ac:dyDescent="0.3">
      <c r="A72" s="1" t="str">
        <f t="shared" si="137"/>
        <v>ADIFSE</v>
      </c>
      <c r="B72" s="1" t="str">
        <f t="shared" si="138"/>
        <v>ADIFSE</v>
      </c>
      <c r="C72" s="1" t="str">
        <f t="shared" si="139"/>
        <v>MAY</v>
      </c>
      <c r="D72" s="41" t="s">
        <v>108</v>
      </c>
      <c r="E72" s="64" t="s">
        <v>235</v>
      </c>
      <c r="F72" s="70"/>
      <c r="G72" s="75"/>
      <c r="H72" s="76"/>
      <c r="I72" s="76"/>
      <c r="J72" s="76"/>
      <c r="K72" s="48"/>
      <c r="L72" s="46"/>
      <c r="M72" s="46"/>
      <c r="N72" s="46"/>
      <c r="O72" s="46"/>
      <c r="P72" s="46"/>
      <c r="Q72" s="56"/>
      <c r="R72" s="46"/>
      <c r="S72" s="46"/>
      <c r="T72" s="46"/>
      <c r="U72" s="46"/>
      <c r="V72" s="46"/>
      <c r="W72" s="57"/>
      <c r="X72" s="46"/>
      <c r="Y72" s="46"/>
      <c r="Z72" s="46"/>
      <c r="AA72" s="46"/>
      <c r="AB72" s="46"/>
      <c r="AC72" s="57"/>
      <c r="AD72" s="46"/>
      <c r="AE72" s="46"/>
      <c r="AF72" s="46"/>
      <c r="AG72" s="46"/>
      <c r="AH72" s="46"/>
      <c r="AI72" s="57"/>
      <c r="AJ72" s="46"/>
      <c r="AK72" s="46"/>
      <c r="AL72" s="46"/>
      <c r="AM72" s="46"/>
      <c r="AN72" s="46"/>
      <c r="AO72" s="57"/>
      <c r="AP72" s="46"/>
      <c r="AQ72" s="46"/>
      <c r="AR72" s="46"/>
      <c r="AS72" s="46"/>
      <c r="AT72" s="46"/>
      <c r="AU72" s="57"/>
      <c r="AV72" s="46"/>
      <c r="AW72" s="46"/>
      <c r="AX72" s="46"/>
      <c r="AY72" s="46"/>
      <c r="AZ72" s="46"/>
      <c r="BA72" s="57"/>
      <c r="BB72" s="46"/>
      <c r="BC72" s="46"/>
      <c r="BD72" s="46"/>
      <c r="BE72" s="46"/>
      <c r="BF72" s="46"/>
      <c r="BG72" s="57"/>
      <c r="BH72" s="46"/>
      <c r="BI72" s="46"/>
      <c r="BJ72" s="46"/>
      <c r="BK72" s="46"/>
      <c r="BL72" s="46"/>
      <c r="BM72" s="57"/>
      <c r="BN72" s="46"/>
      <c r="BO72" s="46"/>
      <c r="BP72" s="46"/>
      <c r="BQ72" s="46"/>
      <c r="BR72" s="46"/>
      <c r="BS72" s="57"/>
      <c r="BT72" s="46"/>
      <c r="BU72" s="46"/>
      <c r="BV72" s="46"/>
      <c r="BW72" s="46"/>
      <c r="BX72" s="46"/>
      <c r="BY72" s="57"/>
      <c r="BZ72" s="46"/>
      <c r="CA72" s="46"/>
      <c r="CB72" s="46"/>
      <c r="CC72" s="46"/>
      <c r="CD72" s="46"/>
      <c r="CE72" s="57"/>
      <c r="CF72" s="46"/>
      <c r="CG72" s="46"/>
      <c r="CH72" s="46"/>
      <c r="CI72" s="46"/>
      <c r="CJ72" s="46"/>
      <c r="CK72" s="57"/>
      <c r="CL72" s="56"/>
      <c r="CM72" s="56"/>
      <c r="CN72" s="56"/>
      <c r="CO72" s="56"/>
      <c r="CP72" s="56"/>
      <c r="CQ72" s="56"/>
      <c r="CR72" s="46"/>
      <c r="CS72" s="39"/>
      <c r="CT72" s="53"/>
      <c r="CU72" s="39"/>
      <c r="CV72" s="39"/>
      <c r="CW72" s="39"/>
      <c r="CX72" s="39"/>
      <c r="CY72" s="39"/>
      <c r="CZ72" s="39"/>
      <c r="DA72" s="39"/>
      <c r="DB72" s="39"/>
      <c r="DC72" s="39"/>
      <c r="DD72" s="39">
        <f>+HLOOKUP('Reporte Evolución Mensual'!$F$2-2,$CR$2:$DC$251, Input!$DG72, FALSE)</f>
        <v>0</v>
      </c>
      <c r="DE72" s="39">
        <f>+HLOOKUP('Reporte Evolución Mensual'!$F$2-1,$CR$2:$DC$251, Input!$DG72, FALSE)</f>
        <v>0</v>
      </c>
      <c r="DF72" s="39">
        <f>+HLOOKUP('Reporte Evolución Mensual'!$F$2,$CR$2:$DC$371, Input!$DG72, FALSE)</f>
        <v>0</v>
      </c>
      <c r="DG72" s="40">
        <f t="shared" si="37"/>
        <v>72</v>
      </c>
      <c r="DH72" s="39"/>
      <c r="DI72" s="39"/>
      <c r="DJ72" s="39"/>
      <c r="DK72" s="39"/>
      <c r="DL72" s="39"/>
      <c r="DM72" s="39"/>
      <c r="DN72" s="39"/>
      <c r="DO72" s="58"/>
      <c r="DP72" s="58"/>
      <c r="DQ72" s="58"/>
      <c r="DR72" s="58"/>
      <c r="DS72" s="41"/>
      <c r="DT72" s="41"/>
      <c r="DU72" s="1"/>
      <c r="DV72" s="345"/>
    </row>
    <row r="73" spans="1:126" ht="15" customHeight="1" x14ac:dyDescent="0.3">
      <c r="A73" s="1" t="str">
        <f t="shared" si="137"/>
        <v>ADIFSE</v>
      </c>
      <c r="B73" s="1" t="str">
        <f t="shared" si="138"/>
        <v>ADIFSE</v>
      </c>
      <c r="C73" s="1" t="str">
        <f t="shared" si="139"/>
        <v>MAY</v>
      </c>
      <c r="D73" s="1" t="s">
        <v>163</v>
      </c>
      <c r="E73" s="69" t="str">
        <f t="shared" ref="E73:E86" si="147">CONCATENATE(H73," - ",I73)</f>
        <v>Transferencias - Aerolíneas Argentinas</v>
      </c>
      <c r="F73" s="62" t="s">
        <v>236</v>
      </c>
      <c r="G73" s="16" t="s">
        <v>230</v>
      </c>
      <c r="H73" s="7" t="s">
        <v>222</v>
      </c>
      <c r="I73" s="7" t="s">
        <v>206</v>
      </c>
      <c r="J73" s="7" t="s">
        <v>166</v>
      </c>
      <c r="K73" s="51"/>
      <c r="L73" s="51"/>
      <c r="M73" s="51"/>
      <c r="N73" s="51"/>
      <c r="O73" s="51"/>
      <c r="P73" s="51"/>
      <c r="Q73" s="35">
        <f t="shared" si="13"/>
        <v>0</v>
      </c>
      <c r="R73" s="51"/>
      <c r="S73" s="51"/>
      <c r="T73" s="51"/>
      <c r="U73" s="51"/>
      <c r="V73" s="51"/>
      <c r="W73" s="36">
        <f t="shared" si="14"/>
        <v>0</v>
      </c>
      <c r="X73" s="51"/>
      <c r="Y73" s="51"/>
      <c r="Z73" s="51"/>
      <c r="AA73" s="51"/>
      <c r="AB73" s="51"/>
      <c r="AC73" s="52">
        <f t="shared" si="15"/>
        <v>0</v>
      </c>
      <c r="AD73" s="51"/>
      <c r="AE73" s="51"/>
      <c r="AF73" s="51"/>
      <c r="AG73" s="51"/>
      <c r="AH73" s="51"/>
      <c r="AI73" s="52">
        <f t="shared" si="16"/>
        <v>0</v>
      </c>
      <c r="AJ73" s="51"/>
      <c r="AK73" s="51"/>
      <c r="AL73" s="51"/>
      <c r="AM73" s="51"/>
      <c r="AN73" s="51"/>
      <c r="AO73" s="52">
        <f t="shared" si="17"/>
        <v>0</v>
      </c>
      <c r="AP73" s="51"/>
      <c r="AQ73" s="51"/>
      <c r="AR73" s="51"/>
      <c r="AS73" s="51"/>
      <c r="AT73" s="51"/>
      <c r="AU73" s="52">
        <f t="shared" si="18"/>
        <v>0</v>
      </c>
      <c r="AV73" s="51"/>
      <c r="AW73" s="51"/>
      <c r="AX73" s="51"/>
      <c r="AY73" s="51"/>
      <c r="AZ73" s="51"/>
      <c r="BA73" s="52">
        <f t="shared" si="19"/>
        <v>0</v>
      </c>
      <c r="BB73" s="51"/>
      <c r="BC73" s="51"/>
      <c r="BD73" s="51"/>
      <c r="BE73" s="51"/>
      <c r="BF73" s="51"/>
      <c r="BG73" s="52">
        <f t="shared" si="20"/>
        <v>0</v>
      </c>
      <c r="BH73" s="51"/>
      <c r="BI73" s="51"/>
      <c r="BJ73" s="51"/>
      <c r="BK73" s="51"/>
      <c r="BL73" s="51"/>
      <c r="BM73" s="52">
        <f t="shared" si="21"/>
        <v>0</v>
      </c>
      <c r="BN73" s="51"/>
      <c r="BO73" s="51"/>
      <c r="BP73" s="51"/>
      <c r="BQ73" s="51"/>
      <c r="BR73" s="51"/>
      <c r="BS73" s="52">
        <f t="shared" si="22"/>
        <v>0</v>
      </c>
      <c r="BT73" s="51"/>
      <c r="BU73" s="51"/>
      <c r="BV73" s="51"/>
      <c r="BW73" s="51"/>
      <c r="BX73" s="51"/>
      <c r="BY73" s="52">
        <f t="shared" si="23"/>
        <v>0</v>
      </c>
      <c r="BZ73" s="51"/>
      <c r="CA73" s="51"/>
      <c r="CB73" s="51"/>
      <c r="CC73" s="51"/>
      <c r="CD73" s="51"/>
      <c r="CE73" s="52">
        <f t="shared" si="24"/>
        <v>0</v>
      </c>
      <c r="CF73" s="51"/>
      <c r="CG73" s="51"/>
      <c r="CH73" s="51"/>
      <c r="CI73" s="51"/>
      <c r="CJ73" s="51"/>
      <c r="CK73" s="68">
        <f t="shared" si="25"/>
        <v>0</v>
      </c>
      <c r="CL73" s="67">
        <f t="shared" si="146"/>
        <v>0</v>
      </c>
      <c r="CM73" s="67">
        <f t="shared" si="146"/>
        <v>0</v>
      </c>
      <c r="CN73" s="67">
        <f t="shared" si="146"/>
        <v>0</v>
      </c>
      <c r="CO73" s="67">
        <f t="shared" si="141"/>
        <v>0</v>
      </c>
      <c r="CP73" s="67">
        <f t="shared" si="141"/>
        <v>0</v>
      </c>
      <c r="CQ73" s="67">
        <f t="shared" si="141"/>
        <v>0</v>
      </c>
      <c r="CR73" s="37">
        <f t="shared" ref="CR73:CR86" si="148">+W73</f>
        <v>0</v>
      </c>
      <c r="CS73" s="39">
        <f t="shared" si="89"/>
        <v>0</v>
      </c>
      <c r="CT73" s="53">
        <f t="shared" si="90"/>
        <v>0</v>
      </c>
      <c r="CU73" s="39">
        <f t="shared" si="91"/>
        <v>0</v>
      </c>
      <c r="CV73" s="39">
        <f t="shared" si="92"/>
        <v>0</v>
      </c>
      <c r="CW73" s="39">
        <f t="shared" si="93"/>
        <v>0</v>
      </c>
      <c r="CX73" s="39">
        <f t="shared" si="94"/>
        <v>0</v>
      </c>
      <c r="CY73" s="39">
        <f t="shared" si="95"/>
        <v>0</v>
      </c>
      <c r="CZ73" s="39">
        <f t="shared" si="96"/>
        <v>0</v>
      </c>
      <c r="DA73" s="39">
        <f t="shared" si="97"/>
        <v>0</v>
      </c>
      <c r="DB73" s="39">
        <f t="shared" si="98"/>
        <v>0</v>
      </c>
      <c r="DC73" s="39">
        <f t="shared" si="99"/>
        <v>0</v>
      </c>
      <c r="DD73" s="39">
        <f>+HLOOKUP('Reporte Evolución Mensual'!$F$2-2,$CR$2:$DC$251, Input!$DG73, FALSE)</f>
        <v>0</v>
      </c>
      <c r="DE73" s="39">
        <f>+HLOOKUP('Reporte Evolución Mensual'!$F$2-1,$CR$2:$DC$251, Input!$DG73, FALSE)</f>
        <v>0</v>
      </c>
      <c r="DF73" s="39">
        <f>+HLOOKUP('Reporte Evolución Mensual'!$F$2,$CR$2:$DC$371, Input!$DG73, FALSE)</f>
        <v>0</v>
      </c>
      <c r="DG73" s="40">
        <f t="shared" si="37"/>
        <v>73</v>
      </c>
      <c r="DH73" s="39"/>
      <c r="DI73" s="37">
        <f t="shared" ref="DI73:DI86" si="149">+CR73</f>
        <v>0</v>
      </c>
      <c r="DJ73" s="37">
        <f t="shared" ref="DJ73:DT86" si="150">+DI73+CS73</f>
        <v>0</v>
      </c>
      <c r="DK73" s="37">
        <f t="shared" si="150"/>
        <v>0</v>
      </c>
      <c r="DL73" s="37">
        <f t="shared" si="150"/>
        <v>0</v>
      </c>
      <c r="DM73" s="37">
        <f t="shared" si="150"/>
        <v>0</v>
      </c>
      <c r="DN73" s="37">
        <f t="shared" si="150"/>
        <v>0</v>
      </c>
      <c r="DO73" s="37">
        <f t="shared" si="150"/>
        <v>0</v>
      </c>
      <c r="DP73" s="37">
        <f t="shared" si="150"/>
        <v>0</v>
      </c>
      <c r="DQ73" s="37">
        <f t="shared" si="150"/>
        <v>0</v>
      </c>
      <c r="DR73" s="37">
        <f t="shared" si="150"/>
        <v>0</v>
      </c>
      <c r="DS73" s="37">
        <f t="shared" si="150"/>
        <v>0</v>
      </c>
      <c r="DT73" s="37">
        <f t="shared" si="150"/>
        <v>0</v>
      </c>
      <c r="DU73" s="1"/>
      <c r="DV73" s="345" t="s">
        <v>108</v>
      </c>
    </row>
    <row r="74" spans="1:126" ht="15" customHeight="1" x14ac:dyDescent="0.3">
      <c r="A74" s="1" t="str">
        <f t="shared" si="137"/>
        <v>ADIFSE</v>
      </c>
      <c r="B74" s="1" t="str">
        <f t="shared" si="138"/>
        <v>ADIFSE</v>
      </c>
      <c r="C74" s="1" t="str">
        <f t="shared" si="139"/>
        <v>MAY</v>
      </c>
      <c r="D74" s="1" t="s">
        <v>163</v>
      </c>
      <c r="E74" s="69" t="str">
        <f t="shared" si="147"/>
        <v>Transferencias - Resto</v>
      </c>
      <c r="F74" s="62" t="s">
        <v>237</v>
      </c>
      <c r="G74" s="16" t="s">
        <v>230</v>
      </c>
      <c r="H74" s="7" t="s">
        <v>222</v>
      </c>
      <c r="I74" s="7" t="s">
        <v>208</v>
      </c>
      <c r="J74" s="7" t="s">
        <v>166</v>
      </c>
      <c r="K74" s="51"/>
      <c r="L74" s="51"/>
      <c r="M74" s="51"/>
      <c r="N74" s="51"/>
      <c r="O74" s="51"/>
      <c r="P74" s="51"/>
      <c r="Q74" s="35">
        <f t="shared" si="13"/>
        <v>0</v>
      </c>
      <c r="R74" s="51"/>
      <c r="S74" s="51"/>
      <c r="T74" s="51"/>
      <c r="U74" s="51"/>
      <c r="V74" s="51"/>
      <c r="W74" s="36">
        <f t="shared" si="14"/>
        <v>0</v>
      </c>
      <c r="X74" s="51"/>
      <c r="Y74" s="51"/>
      <c r="Z74" s="51"/>
      <c r="AA74" s="51"/>
      <c r="AB74" s="51"/>
      <c r="AC74" s="52">
        <f t="shared" si="15"/>
        <v>0</v>
      </c>
      <c r="AD74" s="51"/>
      <c r="AE74" s="51"/>
      <c r="AF74" s="51"/>
      <c r="AG74" s="51"/>
      <c r="AH74" s="51"/>
      <c r="AI74" s="52">
        <f t="shared" si="16"/>
        <v>0</v>
      </c>
      <c r="AJ74" s="51"/>
      <c r="AK74" s="51"/>
      <c r="AL74" s="51"/>
      <c r="AM74" s="51"/>
      <c r="AN74" s="51"/>
      <c r="AO74" s="52">
        <f t="shared" si="17"/>
        <v>0</v>
      </c>
      <c r="AP74" s="51"/>
      <c r="AQ74" s="51"/>
      <c r="AR74" s="51"/>
      <c r="AS74" s="51"/>
      <c r="AT74" s="51"/>
      <c r="AU74" s="52">
        <f t="shared" si="18"/>
        <v>0</v>
      </c>
      <c r="AV74" s="51"/>
      <c r="AW74" s="51"/>
      <c r="AX74" s="51"/>
      <c r="AY74" s="51"/>
      <c r="AZ74" s="51"/>
      <c r="BA74" s="52">
        <f t="shared" si="19"/>
        <v>0</v>
      </c>
      <c r="BB74" s="51"/>
      <c r="BC74" s="51"/>
      <c r="BD74" s="51"/>
      <c r="BE74" s="51"/>
      <c r="BF74" s="51"/>
      <c r="BG74" s="52">
        <f t="shared" si="20"/>
        <v>0</v>
      </c>
      <c r="BH74" s="51"/>
      <c r="BI74" s="51"/>
      <c r="BJ74" s="51"/>
      <c r="BK74" s="51"/>
      <c r="BL74" s="51"/>
      <c r="BM74" s="52">
        <f t="shared" si="21"/>
        <v>0</v>
      </c>
      <c r="BN74" s="51"/>
      <c r="BO74" s="51"/>
      <c r="BP74" s="51"/>
      <c r="BQ74" s="51"/>
      <c r="BR74" s="51"/>
      <c r="BS74" s="52">
        <f t="shared" si="22"/>
        <v>0</v>
      </c>
      <c r="BT74" s="51"/>
      <c r="BU74" s="51"/>
      <c r="BV74" s="51"/>
      <c r="BW74" s="51"/>
      <c r="BX74" s="51"/>
      <c r="BY74" s="52">
        <f t="shared" si="23"/>
        <v>0</v>
      </c>
      <c r="BZ74" s="51"/>
      <c r="CA74" s="51"/>
      <c r="CB74" s="51"/>
      <c r="CC74" s="51"/>
      <c r="CD74" s="51"/>
      <c r="CE74" s="52">
        <f t="shared" si="24"/>
        <v>0</v>
      </c>
      <c r="CF74" s="51"/>
      <c r="CG74" s="51"/>
      <c r="CH74" s="51"/>
      <c r="CI74" s="51"/>
      <c r="CJ74" s="51"/>
      <c r="CK74" s="68">
        <f t="shared" si="25"/>
        <v>0</v>
      </c>
      <c r="CL74" s="67">
        <f t="shared" si="146"/>
        <v>0</v>
      </c>
      <c r="CM74" s="67">
        <f t="shared" si="146"/>
        <v>0</v>
      </c>
      <c r="CN74" s="67">
        <f t="shared" si="146"/>
        <v>0</v>
      </c>
      <c r="CO74" s="67">
        <f t="shared" si="141"/>
        <v>0</v>
      </c>
      <c r="CP74" s="67">
        <f t="shared" si="141"/>
        <v>0</v>
      </c>
      <c r="CQ74" s="67">
        <f t="shared" si="141"/>
        <v>0</v>
      </c>
      <c r="CR74" s="37">
        <f t="shared" si="148"/>
        <v>0</v>
      </c>
      <c r="CS74" s="39">
        <f t="shared" si="89"/>
        <v>0</v>
      </c>
      <c r="CT74" s="53">
        <f t="shared" si="90"/>
        <v>0</v>
      </c>
      <c r="CU74" s="39">
        <f t="shared" si="91"/>
        <v>0</v>
      </c>
      <c r="CV74" s="39">
        <f t="shared" si="92"/>
        <v>0</v>
      </c>
      <c r="CW74" s="39">
        <f t="shared" si="93"/>
        <v>0</v>
      </c>
      <c r="CX74" s="39">
        <f t="shared" si="94"/>
        <v>0</v>
      </c>
      <c r="CY74" s="39">
        <f t="shared" si="95"/>
        <v>0</v>
      </c>
      <c r="CZ74" s="39">
        <f t="shared" si="96"/>
        <v>0</v>
      </c>
      <c r="DA74" s="39">
        <f t="shared" si="97"/>
        <v>0</v>
      </c>
      <c r="DB74" s="39">
        <f t="shared" si="98"/>
        <v>0</v>
      </c>
      <c r="DC74" s="39">
        <f t="shared" si="99"/>
        <v>0</v>
      </c>
      <c r="DD74" s="39">
        <f>+HLOOKUP('Reporte Evolución Mensual'!$F$2-2,$CR$2:$DC$251, Input!$DG74, FALSE)</f>
        <v>0</v>
      </c>
      <c r="DE74" s="39">
        <f>+HLOOKUP('Reporte Evolución Mensual'!$F$2-1,$CR$2:$DC$251, Input!$DG74, FALSE)</f>
        <v>0</v>
      </c>
      <c r="DF74" s="39">
        <f>+HLOOKUP('Reporte Evolución Mensual'!$F$2,$CR$2:$DC$371, Input!$DG74, FALSE)</f>
        <v>0</v>
      </c>
      <c r="DG74" s="40">
        <f t="shared" si="37"/>
        <v>74</v>
      </c>
      <c r="DH74" s="39"/>
      <c r="DI74" s="37">
        <f t="shared" si="149"/>
        <v>0</v>
      </c>
      <c r="DJ74" s="37">
        <f t="shared" si="150"/>
        <v>0</v>
      </c>
      <c r="DK74" s="37">
        <f t="shared" si="150"/>
        <v>0</v>
      </c>
      <c r="DL74" s="37">
        <f t="shared" si="150"/>
        <v>0</v>
      </c>
      <c r="DM74" s="37">
        <f t="shared" si="150"/>
        <v>0</v>
      </c>
      <c r="DN74" s="37">
        <f t="shared" si="150"/>
        <v>0</v>
      </c>
      <c r="DO74" s="37">
        <f t="shared" si="150"/>
        <v>0</v>
      </c>
      <c r="DP74" s="37">
        <f t="shared" si="150"/>
        <v>0</v>
      </c>
      <c r="DQ74" s="37">
        <f t="shared" si="150"/>
        <v>0</v>
      </c>
      <c r="DR74" s="37">
        <f t="shared" si="150"/>
        <v>0</v>
      </c>
      <c r="DS74" s="37">
        <f t="shared" si="150"/>
        <v>0</v>
      </c>
      <c r="DT74" s="37">
        <f t="shared" si="150"/>
        <v>0</v>
      </c>
      <c r="DU74" s="1"/>
      <c r="DV74" s="345" t="s">
        <v>163</v>
      </c>
    </row>
    <row r="75" spans="1:126" ht="15" customHeight="1" x14ac:dyDescent="0.3">
      <c r="A75" s="1" t="str">
        <f t="shared" si="137"/>
        <v>ADIFSE</v>
      </c>
      <c r="B75" s="1" t="str">
        <f t="shared" si="138"/>
        <v>ADIFSE</v>
      </c>
      <c r="C75" s="1" t="str">
        <f t="shared" si="139"/>
        <v>MAY</v>
      </c>
      <c r="D75" s="78" t="s">
        <v>108</v>
      </c>
      <c r="E75" s="79" t="str">
        <f>CONCATENATE(H75," - ",I75)</f>
        <v>Transferencias - Sector Privado</v>
      </c>
      <c r="F75" s="80">
        <v>52</v>
      </c>
      <c r="G75" s="77" t="s">
        <v>230</v>
      </c>
      <c r="H75" s="81" t="s">
        <v>222</v>
      </c>
      <c r="I75" s="81" t="s">
        <v>238</v>
      </c>
      <c r="J75" s="81" t="s">
        <v>166</v>
      </c>
      <c r="K75" s="60">
        <f>SUM(K73:K74)</f>
        <v>0</v>
      </c>
      <c r="L75" s="60">
        <f t="shared" ref="L75:Q75" si="151">SUM(L73:L74)</f>
        <v>0</v>
      </c>
      <c r="M75" s="60">
        <f t="shared" si="151"/>
        <v>0</v>
      </c>
      <c r="N75" s="60">
        <f t="shared" si="151"/>
        <v>0</v>
      </c>
      <c r="O75" s="60">
        <f t="shared" si="151"/>
        <v>0</v>
      </c>
      <c r="P75" s="60">
        <f t="shared" si="151"/>
        <v>0</v>
      </c>
      <c r="Q75" s="82">
        <f t="shared" si="151"/>
        <v>0</v>
      </c>
      <c r="R75" s="60">
        <f t="shared" ref="R75:AW75" si="152">SUM(R73:R74)</f>
        <v>0</v>
      </c>
      <c r="S75" s="60">
        <f t="shared" si="152"/>
        <v>0</v>
      </c>
      <c r="T75" s="60">
        <f t="shared" si="152"/>
        <v>0</v>
      </c>
      <c r="U75" s="60">
        <f t="shared" si="152"/>
        <v>0</v>
      </c>
      <c r="V75" s="60">
        <f t="shared" si="152"/>
        <v>0</v>
      </c>
      <c r="W75" s="83">
        <f t="shared" si="152"/>
        <v>0</v>
      </c>
      <c r="X75" s="60">
        <f t="shared" si="152"/>
        <v>0</v>
      </c>
      <c r="Y75" s="60">
        <f t="shared" si="152"/>
        <v>0</v>
      </c>
      <c r="Z75" s="60">
        <f t="shared" si="152"/>
        <v>0</v>
      </c>
      <c r="AA75" s="60">
        <f t="shared" si="152"/>
        <v>0</v>
      </c>
      <c r="AB75" s="60">
        <f t="shared" si="152"/>
        <v>0</v>
      </c>
      <c r="AC75" s="83">
        <f t="shared" si="152"/>
        <v>0</v>
      </c>
      <c r="AD75" s="60">
        <f t="shared" si="152"/>
        <v>0</v>
      </c>
      <c r="AE75" s="60">
        <f t="shared" si="152"/>
        <v>0</v>
      </c>
      <c r="AF75" s="60">
        <f t="shared" si="152"/>
        <v>0</v>
      </c>
      <c r="AG75" s="60">
        <f t="shared" si="152"/>
        <v>0</v>
      </c>
      <c r="AH75" s="60">
        <f t="shared" si="152"/>
        <v>0</v>
      </c>
      <c r="AI75" s="83">
        <f t="shared" si="152"/>
        <v>0</v>
      </c>
      <c r="AJ75" s="60">
        <f t="shared" si="152"/>
        <v>0</v>
      </c>
      <c r="AK75" s="60">
        <f t="shared" si="152"/>
        <v>0</v>
      </c>
      <c r="AL75" s="60">
        <f t="shared" si="152"/>
        <v>0</v>
      </c>
      <c r="AM75" s="60">
        <f t="shared" si="152"/>
        <v>0</v>
      </c>
      <c r="AN75" s="60">
        <f t="shared" si="152"/>
        <v>0</v>
      </c>
      <c r="AO75" s="83">
        <f t="shared" si="152"/>
        <v>0</v>
      </c>
      <c r="AP75" s="60">
        <f t="shared" si="152"/>
        <v>0</v>
      </c>
      <c r="AQ75" s="60">
        <f t="shared" si="152"/>
        <v>0</v>
      </c>
      <c r="AR75" s="60">
        <f t="shared" si="152"/>
        <v>0</v>
      </c>
      <c r="AS75" s="60">
        <f t="shared" si="152"/>
        <v>0</v>
      </c>
      <c r="AT75" s="60">
        <f t="shared" si="152"/>
        <v>0</v>
      </c>
      <c r="AU75" s="83">
        <f t="shared" si="152"/>
        <v>0</v>
      </c>
      <c r="AV75" s="60">
        <f t="shared" si="152"/>
        <v>0</v>
      </c>
      <c r="AW75" s="60">
        <f t="shared" si="152"/>
        <v>0</v>
      </c>
      <c r="AX75" s="60">
        <f t="shared" ref="AX75:BW75" si="153">SUM(AX73:AX74)</f>
        <v>0</v>
      </c>
      <c r="AY75" s="60">
        <f t="shared" si="153"/>
        <v>0</v>
      </c>
      <c r="AZ75" s="60">
        <f t="shared" si="153"/>
        <v>0</v>
      </c>
      <c r="BA75" s="83">
        <f t="shared" si="153"/>
        <v>0</v>
      </c>
      <c r="BB75" s="60">
        <f t="shared" si="153"/>
        <v>0</v>
      </c>
      <c r="BC75" s="60">
        <f t="shared" si="153"/>
        <v>0</v>
      </c>
      <c r="BD75" s="60">
        <f t="shared" si="153"/>
        <v>0</v>
      </c>
      <c r="BE75" s="60">
        <f t="shared" si="153"/>
        <v>0</v>
      </c>
      <c r="BF75" s="60">
        <f t="shared" si="153"/>
        <v>0</v>
      </c>
      <c r="BG75" s="83">
        <f t="shared" si="153"/>
        <v>0</v>
      </c>
      <c r="BH75" s="60">
        <f t="shared" si="153"/>
        <v>0</v>
      </c>
      <c r="BI75" s="60">
        <f t="shared" si="153"/>
        <v>0</v>
      </c>
      <c r="BJ75" s="60">
        <f t="shared" si="153"/>
        <v>0</v>
      </c>
      <c r="BK75" s="60">
        <f t="shared" si="153"/>
        <v>0</v>
      </c>
      <c r="BL75" s="60">
        <f t="shared" si="153"/>
        <v>0</v>
      </c>
      <c r="BM75" s="83">
        <f t="shared" si="153"/>
        <v>0</v>
      </c>
      <c r="BN75" s="60">
        <f t="shared" si="153"/>
        <v>0</v>
      </c>
      <c r="BO75" s="60">
        <f t="shared" si="153"/>
        <v>0</v>
      </c>
      <c r="BP75" s="60">
        <f t="shared" si="153"/>
        <v>0</v>
      </c>
      <c r="BQ75" s="60">
        <f t="shared" si="153"/>
        <v>0</v>
      </c>
      <c r="BR75" s="60">
        <f t="shared" si="153"/>
        <v>0</v>
      </c>
      <c r="BS75" s="83">
        <f t="shared" si="153"/>
        <v>0</v>
      </c>
      <c r="BT75" s="60">
        <f t="shared" si="153"/>
        <v>0</v>
      </c>
      <c r="BU75" s="60">
        <f t="shared" si="153"/>
        <v>0</v>
      </c>
      <c r="BV75" s="60">
        <f t="shared" si="153"/>
        <v>0</v>
      </c>
      <c r="BW75" s="60">
        <f t="shared" si="153"/>
        <v>0</v>
      </c>
      <c r="BX75" s="60">
        <f t="shared" ref="BX75:CK75" si="154">SUM(BX73:BX74)</f>
        <v>0</v>
      </c>
      <c r="BY75" s="83">
        <f t="shared" si="154"/>
        <v>0</v>
      </c>
      <c r="BZ75" s="60">
        <f t="shared" si="154"/>
        <v>0</v>
      </c>
      <c r="CA75" s="60">
        <f t="shared" si="154"/>
        <v>0</v>
      </c>
      <c r="CB75" s="60">
        <f t="shared" si="154"/>
        <v>0</v>
      </c>
      <c r="CC75" s="60">
        <f t="shared" si="154"/>
        <v>0</v>
      </c>
      <c r="CD75" s="60">
        <f t="shared" si="154"/>
        <v>0</v>
      </c>
      <c r="CE75" s="83">
        <f t="shared" si="154"/>
        <v>0</v>
      </c>
      <c r="CF75" s="60">
        <f t="shared" si="154"/>
        <v>0</v>
      </c>
      <c r="CG75" s="60">
        <f t="shared" si="154"/>
        <v>0</v>
      </c>
      <c r="CH75" s="60">
        <f t="shared" si="154"/>
        <v>0</v>
      </c>
      <c r="CI75" s="60">
        <f t="shared" si="154"/>
        <v>0</v>
      </c>
      <c r="CJ75" s="60">
        <f t="shared" si="154"/>
        <v>0</v>
      </c>
      <c r="CK75" s="83">
        <f t="shared" si="154"/>
        <v>0</v>
      </c>
      <c r="CL75" s="82">
        <f t="shared" si="146"/>
        <v>0</v>
      </c>
      <c r="CM75" s="82">
        <f t="shared" si="146"/>
        <v>0</v>
      </c>
      <c r="CN75" s="82">
        <f t="shared" si="146"/>
        <v>0</v>
      </c>
      <c r="CO75" s="82">
        <f t="shared" si="141"/>
        <v>0</v>
      </c>
      <c r="CP75" s="82">
        <f t="shared" si="141"/>
        <v>0</v>
      </c>
      <c r="CQ75" s="82">
        <f t="shared" si="141"/>
        <v>0</v>
      </c>
      <c r="CR75" s="37">
        <f t="shared" si="148"/>
        <v>0</v>
      </c>
      <c r="CS75" s="39">
        <f t="shared" si="89"/>
        <v>0</v>
      </c>
      <c r="CT75" s="53">
        <f t="shared" si="90"/>
        <v>0</v>
      </c>
      <c r="CU75" s="39">
        <f t="shared" si="91"/>
        <v>0</v>
      </c>
      <c r="CV75" s="39">
        <f t="shared" si="92"/>
        <v>0</v>
      </c>
      <c r="CW75" s="39">
        <f t="shared" si="93"/>
        <v>0</v>
      </c>
      <c r="CX75" s="39">
        <f t="shared" si="94"/>
        <v>0</v>
      </c>
      <c r="CY75" s="39">
        <f t="shared" si="95"/>
        <v>0</v>
      </c>
      <c r="CZ75" s="39">
        <f t="shared" si="96"/>
        <v>0</v>
      </c>
      <c r="DA75" s="39">
        <f t="shared" si="97"/>
        <v>0</v>
      </c>
      <c r="DB75" s="39">
        <f t="shared" si="98"/>
        <v>0</v>
      </c>
      <c r="DC75" s="39">
        <f t="shared" si="99"/>
        <v>0</v>
      </c>
      <c r="DD75" s="39">
        <f>+HLOOKUP('Reporte Evolución Mensual'!$F$2-2,$CR$2:$DC$251, Input!$DG75, FALSE)</f>
        <v>0</v>
      </c>
      <c r="DE75" s="39">
        <f>+HLOOKUP('Reporte Evolución Mensual'!$F$2-1,$CR$2:$DC$251, Input!$DG75, FALSE)</f>
        <v>0</v>
      </c>
      <c r="DF75" s="39">
        <f>+HLOOKUP('Reporte Evolución Mensual'!$F$2,$CR$2:$DC$371, Input!$DG75, FALSE)</f>
        <v>0</v>
      </c>
      <c r="DG75" s="40">
        <f t="shared" si="37"/>
        <v>75</v>
      </c>
      <c r="DH75" s="84"/>
      <c r="DI75" s="37">
        <f t="shared" si="149"/>
        <v>0</v>
      </c>
      <c r="DJ75" s="37">
        <f t="shared" si="150"/>
        <v>0</v>
      </c>
      <c r="DK75" s="37">
        <f t="shared" si="150"/>
        <v>0</v>
      </c>
      <c r="DL75" s="37">
        <f t="shared" si="150"/>
        <v>0</v>
      </c>
      <c r="DM75" s="37">
        <f t="shared" si="150"/>
        <v>0</v>
      </c>
      <c r="DN75" s="37">
        <f t="shared" si="150"/>
        <v>0</v>
      </c>
      <c r="DO75" s="37">
        <f t="shared" si="150"/>
        <v>0</v>
      </c>
      <c r="DP75" s="37">
        <f t="shared" si="150"/>
        <v>0</v>
      </c>
      <c r="DQ75" s="37">
        <f t="shared" si="150"/>
        <v>0</v>
      </c>
      <c r="DR75" s="37">
        <f t="shared" si="150"/>
        <v>0</v>
      </c>
      <c r="DS75" s="37">
        <f t="shared" si="150"/>
        <v>0</v>
      </c>
      <c r="DT75" s="37">
        <f t="shared" si="150"/>
        <v>0</v>
      </c>
      <c r="DU75" s="1"/>
      <c r="DV75" s="345"/>
    </row>
    <row r="76" spans="1:126" ht="15" customHeight="1" x14ac:dyDescent="0.3">
      <c r="A76" s="1" t="str">
        <f t="shared" si="137"/>
        <v>ADIFSE</v>
      </c>
      <c r="B76" s="1" t="str">
        <f t="shared" si="138"/>
        <v>ADIFSE</v>
      </c>
      <c r="C76" s="1" t="str">
        <f t="shared" si="139"/>
        <v>MAY</v>
      </c>
      <c r="D76" s="1" t="s">
        <v>163</v>
      </c>
      <c r="E76" s="69" t="str">
        <f t="shared" ref="E76:E77" si="155">CONCATENATE(H76," - ",I76)</f>
        <v>Transferencias - DNV</v>
      </c>
      <c r="F76" s="62" t="s">
        <v>239</v>
      </c>
      <c r="G76" s="16" t="s">
        <v>230</v>
      </c>
      <c r="H76" s="7" t="s">
        <v>222</v>
      </c>
      <c r="I76" s="7" t="s">
        <v>240</v>
      </c>
      <c r="J76" s="7" t="s">
        <v>166</v>
      </c>
      <c r="K76" s="51"/>
      <c r="L76" s="51"/>
      <c r="M76" s="51"/>
      <c r="N76" s="51"/>
      <c r="O76" s="51"/>
      <c r="P76" s="51"/>
      <c r="Q76" s="35">
        <f t="shared" si="13"/>
        <v>0</v>
      </c>
      <c r="R76" s="51"/>
      <c r="S76" s="51"/>
      <c r="T76" s="51"/>
      <c r="U76" s="51"/>
      <c r="V76" s="51"/>
      <c r="W76" s="36">
        <f t="shared" si="14"/>
        <v>0</v>
      </c>
      <c r="X76" s="51"/>
      <c r="Y76" s="51"/>
      <c r="Z76" s="51"/>
      <c r="AA76" s="51"/>
      <c r="AB76" s="51"/>
      <c r="AC76" s="52">
        <f t="shared" si="15"/>
        <v>0</v>
      </c>
      <c r="AD76" s="51"/>
      <c r="AE76" s="51"/>
      <c r="AF76" s="51"/>
      <c r="AG76" s="51"/>
      <c r="AH76" s="51"/>
      <c r="AI76" s="52">
        <f t="shared" si="16"/>
        <v>0</v>
      </c>
      <c r="AJ76" s="51"/>
      <c r="AK76" s="51"/>
      <c r="AL76" s="51"/>
      <c r="AM76" s="51"/>
      <c r="AN76" s="51"/>
      <c r="AO76" s="52">
        <f t="shared" si="17"/>
        <v>0</v>
      </c>
      <c r="AP76" s="51"/>
      <c r="AQ76" s="51"/>
      <c r="AR76" s="51"/>
      <c r="AS76" s="51"/>
      <c r="AT76" s="51"/>
      <c r="AU76" s="52">
        <f t="shared" si="18"/>
        <v>0</v>
      </c>
      <c r="AV76" s="51"/>
      <c r="AW76" s="51"/>
      <c r="AX76" s="51"/>
      <c r="AY76" s="51"/>
      <c r="AZ76" s="51"/>
      <c r="BA76" s="52">
        <f t="shared" si="19"/>
        <v>0</v>
      </c>
      <c r="BB76" s="51"/>
      <c r="BC76" s="51"/>
      <c r="BD76" s="51"/>
      <c r="BE76" s="51"/>
      <c r="BF76" s="51"/>
      <c r="BG76" s="52">
        <f t="shared" si="20"/>
        <v>0</v>
      </c>
      <c r="BH76" s="51"/>
      <c r="BI76" s="51"/>
      <c r="BJ76" s="51"/>
      <c r="BK76" s="51"/>
      <c r="BL76" s="51"/>
      <c r="BM76" s="52">
        <f t="shared" si="21"/>
        <v>0</v>
      </c>
      <c r="BN76" s="51"/>
      <c r="BO76" s="51"/>
      <c r="BP76" s="51"/>
      <c r="BQ76" s="51"/>
      <c r="BR76" s="51"/>
      <c r="BS76" s="52">
        <f t="shared" si="22"/>
        <v>0</v>
      </c>
      <c r="BT76" s="51"/>
      <c r="BU76" s="51"/>
      <c r="BV76" s="51"/>
      <c r="BW76" s="51"/>
      <c r="BX76" s="51"/>
      <c r="BY76" s="52">
        <f t="shared" si="23"/>
        <v>0</v>
      </c>
      <c r="BZ76" s="51"/>
      <c r="CA76" s="51"/>
      <c r="CB76" s="51"/>
      <c r="CC76" s="51"/>
      <c r="CD76" s="51"/>
      <c r="CE76" s="52">
        <f t="shared" si="24"/>
        <v>0</v>
      </c>
      <c r="CF76" s="51"/>
      <c r="CG76" s="51"/>
      <c r="CH76" s="51"/>
      <c r="CI76" s="51"/>
      <c r="CJ76" s="51"/>
      <c r="CK76" s="68">
        <f t="shared" si="25"/>
        <v>0</v>
      </c>
      <c r="CL76" s="67">
        <f t="shared" si="146"/>
        <v>0</v>
      </c>
      <c r="CM76" s="67">
        <f t="shared" si="146"/>
        <v>0</v>
      </c>
      <c r="CN76" s="67">
        <f t="shared" si="146"/>
        <v>0</v>
      </c>
      <c r="CO76" s="67">
        <f t="shared" si="141"/>
        <v>0</v>
      </c>
      <c r="CP76" s="67">
        <f t="shared" si="141"/>
        <v>0</v>
      </c>
      <c r="CQ76" s="67">
        <f t="shared" si="141"/>
        <v>0</v>
      </c>
      <c r="CR76" s="37">
        <f t="shared" si="148"/>
        <v>0</v>
      </c>
      <c r="CS76" s="39">
        <f t="shared" si="89"/>
        <v>0</v>
      </c>
      <c r="CT76" s="53">
        <f t="shared" si="90"/>
        <v>0</v>
      </c>
      <c r="CU76" s="39">
        <f t="shared" si="91"/>
        <v>0</v>
      </c>
      <c r="CV76" s="39">
        <f t="shared" si="92"/>
        <v>0</v>
      </c>
      <c r="CW76" s="39">
        <f t="shared" si="93"/>
        <v>0</v>
      </c>
      <c r="CX76" s="39">
        <f t="shared" si="94"/>
        <v>0</v>
      </c>
      <c r="CY76" s="39">
        <f t="shared" si="95"/>
        <v>0</v>
      </c>
      <c r="CZ76" s="39">
        <f t="shared" si="96"/>
        <v>0</v>
      </c>
      <c r="DA76" s="39">
        <f t="shared" si="97"/>
        <v>0</v>
      </c>
      <c r="DB76" s="39">
        <f t="shared" si="98"/>
        <v>0</v>
      </c>
      <c r="DC76" s="39">
        <f t="shared" si="99"/>
        <v>0</v>
      </c>
      <c r="DD76" s="39">
        <f>+HLOOKUP('Reporte Evolución Mensual'!$F$2-2,$CR$2:$DC$251, Input!$DG76, FALSE)</f>
        <v>0</v>
      </c>
      <c r="DE76" s="39">
        <f>+HLOOKUP('Reporte Evolución Mensual'!$F$2-1,$CR$2:$DC$251, Input!$DG76, FALSE)</f>
        <v>0</v>
      </c>
      <c r="DF76" s="39">
        <f>+HLOOKUP('Reporte Evolución Mensual'!$F$2,$CR$2:$DC$371, Input!$DG76, FALSE)</f>
        <v>0</v>
      </c>
      <c r="DG76" s="40">
        <f t="shared" si="37"/>
        <v>76</v>
      </c>
      <c r="DH76" s="39"/>
      <c r="DI76" s="37">
        <f t="shared" si="149"/>
        <v>0</v>
      </c>
      <c r="DJ76" s="37">
        <f t="shared" si="150"/>
        <v>0</v>
      </c>
      <c r="DK76" s="37">
        <f t="shared" si="150"/>
        <v>0</v>
      </c>
      <c r="DL76" s="37">
        <f t="shared" si="150"/>
        <v>0</v>
      </c>
      <c r="DM76" s="37">
        <f t="shared" si="150"/>
        <v>0</v>
      </c>
      <c r="DN76" s="37">
        <f t="shared" si="150"/>
        <v>0</v>
      </c>
      <c r="DO76" s="37">
        <f t="shared" si="150"/>
        <v>0</v>
      </c>
      <c r="DP76" s="37">
        <f t="shared" si="150"/>
        <v>0</v>
      </c>
      <c r="DQ76" s="37">
        <f t="shared" si="150"/>
        <v>0</v>
      </c>
      <c r="DR76" s="37">
        <f t="shared" si="150"/>
        <v>0</v>
      </c>
      <c r="DS76" s="37">
        <f t="shared" si="150"/>
        <v>0</v>
      </c>
      <c r="DT76" s="37">
        <f t="shared" si="150"/>
        <v>0</v>
      </c>
      <c r="DU76" s="1"/>
      <c r="DV76" s="345" t="s">
        <v>108</v>
      </c>
    </row>
    <row r="77" spans="1:126" ht="15" customHeight="1" x14ac:dyDescent="0.3">
      <c r="A77" s="1" t="str">
        <f t="shared" si="137"/>
        <v>ADIFSE</v>
      </c>
      <c r="B77" s="1" t="str">
        <f t="shared" si="138"/>
        <v>ADIFSE</v>
      </c>
      <c r="C77" s="1" t="str">
        <f t="shared" si="139"/>
        <v>MAY</v>
      </c>
      <c r="D77" s="1" t="s">
        <v>163</v>
      </c>
      <c r="E77" s="69" t="str">
        <f t="shared" si="155"/>
        <v>Transferencias - Resto</v>
      </c>
      <c r="F77" s="62" t="s">
        <v>241</v>
      </c>
      <c r="G77" s="16" t="s">
        <v>230</v>
      </c>
      <c r="H77" s="7" t="s">
        <v>222</v>
      </c>
      <c r="I77" s="7" t="s">
        <v>208</v>
      </c>
      <c r="J77" s="7" t="s">
        <v>166</v>
      </c>
      <c r="K77" s="51"/>
      <c r="L77" s="51"/>
      <c r="M77" s="51"/>
      <c r="N77" s="51"/>
      <c r="O77" s="51"/>
      <c r="P77" s="51"/>
      <c r="Q77" s="35">
        <f t="shared" si="13"/>
        <v>0</v>
      </c>
      <c r="R77" s="51"/>
      <c r="S77" s="51"/>
      <c r="T77" s="51"/>
      <c r="U77" s="51"/>
      <c r="V77" s="51"/>
      <c r="W77" s="36">
        <f t="shared" si="14"/>
        <v>0</v>
      </c>
      <c r="X77" s="51"/>
      <c r="Y77" s="51"/>
      <c r="Z77" s="51"/>
      <c r="AA77" s="51"/>
      <c r="AB77" s="51"/>
      <c r="AC77" s="52">
        <f t="shared" si="15"/>
        <v>0</v>
      </c>
      <c r="AD77" s="51"/>
      <c r="AE77" s="51"/>
      <c r="AF77" s="51"/>
      <c r="AG77" s="51"/>
      <c r="AH77" s="51"/>
      <c r="AI77" s="52">
        <f t="shared" si="16"/>
        <v>0</v>
      </c>
      <c r="AJ77" s="51"/>
      <c r="AK77" s="51"/>
      <c r="AL77" s="51"/>
      <c r="AM77" s="51"/>
      <c r="AN77" s="51"/>
      <c r="AO77" s="52">
        <f t="shared" si="17"/>
        <v>0</v>
      </c>
      <c r="AP77" s="51"/>
      <c r="AQ77" s="51"/>
      <c r="AR77" s="51"/>
      <c r="AS77" s="51"/>
      <c r="AT77" s="51"/>
      <c r="AU77" s="52">
        <f t="shared" si="18"/>
        <v>0</v>
      </c>
      <c r="AV77" s="51"/>
      <c r="AW77" s="51"/>
      <c r="AX77" s="51"/>
      <c r="AY77" s="51"/>
      <c r="AZ77" s="51"/>
      <c r="BA77" s="52">
        <f t="shared" si="19"/>
        <v>0</v>
      </c>
      <c r="BB77" s="51"/>
      <c r="BC77" s="51"/>
      <c r="BD77" s="51"/>
      <c r="BE77" s="51"/>
      <c r="BF77" s="51"/>
      <c r="BG77" s="52">
        <f t="shared" si="20"/>
        <v>0</v>
      </c>
      <c r="BH77" s="51"/>
      <c r="BI77" s="51"/>
      <c r="BJ77" s="51"/>
      <c r="BK77" s="51"/>
      <c r="BL77" s="51"/>
      <c r="BM77" s="52">
        <f t="shared" si="21"/>
        <v>0</v>
      </c>
      <c r="BN77" s="51"/>
      <c r="BO77" s="51"/>
      <c r="BP77" s="51"/>
      <c r="BQ77" s="51"/>
      <c r="BR77" s="51"/>
      <c r="BS77" s="52">
        <f t="shared" si="22"/>
        <v>0</v>
      </c>
      <c r="BT77" s="51"/>
      <c r="BU77" s="51"/>
      <c r="BV77" s="51"/>
      <c r="BW77" s="51"/>
      <c r="BX77" s="51"/>
      <c r="BY77" s="52">
        <f t="shared" si="23"/>
        <v>0</v>
      </c>
      <c r="BZ77" s="51"/>
      <c r="CA77" s="51"/>
      <c r="CB77" s="51"/>
      <c r="CC77" s="51"/>
      <c r="CD77" s="51"/>
      <c r="CE77" s="52">
        <f t="shared" si="24"/>
        <v>0</v>
      </c>
      <c r="CF77" s="51"/>
      <c r="CG77" s="51"/>
      <c r="CH77" s="51"/>
      <c r="CI77" s="51"/>
      <c r="CJ77" s="51"/>
      <c r="CK77" s="68">
        <f t="shared" si="25"/>
        <v>0</v>
      </c>
      <c r="CL77" s="67">
        <f t="shared" si="146"/>
        <v>0</v>
      </c>
      <c r="CM77" s="67">
        <f t="shared" si="146"/>
        <v>0</v>
      </c>
      <c r="CN77" s="67">
        <f t="shared" si="146"/>
        <v>0</v>
      </c>
      <c r="CO77" s="67">
        <f t="shared" si="141"/>
        <v>0</v>
      </c>
      <c r="CP77" s="67">
        <f t="shared" si="141"/>
        <v>0</v>
      </c>
      <c r="CQ77" s="67">
        <f t="shared" si="141"/>
        <v>0</v>
      </c>
      <c r="CR77" s="37">
        <f t="shared" si="148"/>
        <v>0</v>
      </c>
      <c r="CS77" s="39">
        <f t="shared" si="89"/>
        <v>0</v>
      </c>
      <c r="CT77" s="53">
        <f t="shared" si="90"/>
        <v>0</v>
      </c>
      <c r="CU77" s="39">
        <f t="shared" si="91"/>
        <v>0</v>
      </c>
      <c r="CV77" s="39">
        <f t="shared" si="92"/>
        <v>0</v>
      </c>
      <c r="CW77" s="39">
        <f t="shared" si="93"/>
        <v>0</v>
      </c>
      <c r="CX77" s="39">
        <f t="shared" si="94"/>
        <v>0</v>
      </c>
      <c r="CY77" s="39">
        <f t="shared" si="95"/>
        <v>0</v>
      </c>
      <c r="CZ77" s="39">
        <f t="shared" si="96"/>
        <v>0</v>
      </c>
      <c r="DA77" s="39">
        <f t="shared" si="97"/>
        <v>0</v>
      </c>
      <c r="DB77" s="39">
        <f t="shared" si="98"/>
        <v>0</v>
      </c>
      <c r="DC77" s="39">
        <f t="shared" si="99"/>
        <v>0</v>
      </c>
      <c r="DD77" s="39">
        <f>+HLOOKUP('Reporte Evolución Mensual'!$F$2-2,$CR$2:$DC$251, Input!$DG77, FALSE)</f>
        <v>0</v>
      </c>
      <c r="DE77" s="39">
        <f>+HLOOKUP('Reporte Evolución Mensual'!$F$2-1,$CR$2:$DC$251, Input!$DG77, FALSE)</f>
        <v>0</v>
      </c>
      <c r="DF77" s="39">
        <f>+HLOOKUP('Reporte Evolución Mensual'!$F$2,$CR$2:$DC$371, Input!$DG77, FALSE)</f>
        <v>0</v>
      </c>
      <c r="DG77" s="40">
        <f t="shared" si="37"/>
        <v>77</v>
      </c>
      <c r="DH77" s="39"/>
      <c r="DI77" s="37">
        <f t="shared" si="149"/>
        <v>0</v>
      </c>
      <c r="DJ77" s="37">
        <f t="shared" si="150"/>
        <v>0</v>
      </c>
      <c r="DK77" s="37">
        <f t="shared" si="150"/>
        <v>0</v>
      </c>
      <c r="DL77" s="37">
        <f t="shared" si="150"/>
        <v>0</v>
      </c>
      <c r="DM77" s="37">
        <f t="shared" si="150"/>
        <v>0</v>
      </c>
      <c r="DN77" s="37">
        <f t="shared" si="150"/>
        <v>0</v>
      </c>
      <c r="DO77" s="37">
        <f t="shared" si="150"/>
        <v>0</v>
      </c>
      <c r="DP77" s="37">
        <f t="shared" si="150"/>
        <v>0</v>
      </c>
      <c r="DQ77" s="37">
        <f t="shared" si="150"/>
        <v>0</v>
      </c>
      <c r="DR77" s="37">
        <f t="shared" si="150"/>
        <v>0</v>
      </c>
      <c r="DS77" s="37">
        <f t="shared" si="150"/>
        <v>0</v>
      </c>
      <c r="DT77" s="37">
        <f t="shared" si="150"/>
        <v>0</v>
      </c>
      <c r="DU77" s="1"/>
      <c r="DV77" s="345" t="s">
        <v>163</v>
      </c>
    </row>
    <row r="78" spans="1:126" ht="15" customHeight="1" x14ac:dyDescent="0.3">
      <c r="A78" s="1" t="str">
        <f t="shared" si="137"/>
        <v>ADIFSE</v>
      </c>
      <c r="B78" s="1" t="str">
        <f t="shared" si="138"/>
        <v>ADIFSE</v>
      </c>
      <c r="C78" s="1" t="str">
        <f t="shared" si="139"/>
        <v>MAY</v>
      </c>
      <c r="D78" s="78" t="s">
        <v>108</v>
      </c>
      <c r="E78" s="79" t="str">
        <f>CONCATENATE(H78," - ",I78)</f>
        <v>Transferencias - Administración Nacional</v>
      </c>
      <c r="F78" s="85" t="s">
        <v>242</v>
      </c>
      <c r="G78" s="77" t="s">
        <v>230</v>
      </c>
      <c r="H78" s="81" t="s">
        <v>222</v>
      </c>
      <c r="I78" s="81" t="s">
        <v>243</v>
      </c>
      <c r="J78" s="81" t="s">
        <v>166</v>
      </c>
      <c r="K78" s="60">
        <f>SUM(K76:K77)</f>
        <v>0</v>
      </c>
      <c r="L78" s="60">
        <f t="shared" ref="L78:Q78" si="156">SUM(L76:L77)</f>
        <v>0</v>
      </c>
      <c r="M78" s="60">
        <f t="shared" si="156"/>
        <v>0</v>
      </c>
      <c r="N78" s="60">
        <f t="shared" si="156"/>
        <v>0</v>
      </c>
      <c r="O78" s="60">
        <f t="shared" si="156"/>
        <v>0</v>
      </c>
      <c r="P78" s="60">
        <f t="shared" si="156"/>
        <v>0</v>
      </c>
      <c r="Q78" s="82">
        <f t="shared" si="156"/>
        <v>0</v>
      </c>
      <c r="R78" s="60">
        <f t="shared" ref="R78:AW78" si="157">SUM(R76:R77)</f>
        <v>0</v>
      </c>
      <c r="S78" s="60">
        <f t="shared" si="157"/>
        <v>0</v>
      </c>
      <c r="T78" s="60">
        <f t="shared" si="157"/>
        <v>0</v>
      </c>
      <c r="U78" s="60">
        <f t="shared" si="157"/>
        <v>0</v>
      </c>
      <c r="V78" s="60">
        <f t="shared" si="157"/>
        <v>0</v>
      </c>
      <c r="W78" s="83">
        <f t="shared" si="157"/>
        <v>0</v>
      </c>
      <c r="X78" s="60">
        <f t="shared" si="157"/>
        <v>0</v>
      </c>
      <c r="Y78" s="60">
        <f t="shared" si="157"/>
        <v>0</v>
      </c>
      <c r="Z78" s="60">
        <f t="shared" si="157"/>
        <v>0</v>
      </c>
      <c r="AA78" s="60">
        <f t="shared" si="157"/>
        <v>0</v>
      </c>
      <c r="AB78" s="60">
        <f t="shared" si="157"/>
        <v>0</v>
      </c>
      <c r="AC78" s="83">
        <f t="shared" si="157"/>
        <v>0</v>
      </c>
      <c r="AD78" s="60">
        <f t="shared" si="157"/>
        <v>0</v>
      </c>
      <c r="AE78" s="60">
        <f t="shared" si="157"/>
        <v>0</v>
      </c>
      <c r="AF78" s="60">
        <f t="shared" si="157"/>
        <v>0</v>
      </c>
      <c r="AG78" s="60">
        <f t="shared" si="157"/>
        <v>0</v>
      </c>
      <c r="AH78" s="60">
        <f t="shared" si="157"/>
        <v>0</v>
      </c>
      <c r="AI78" s="83">
        <f t="shared" si="157"/>
        <v>0</v>
      </c>
      <c r="AJ78" s="60">
        <f t="shared" si="157"/>
        <v>0</v>
      </c>
      <c r="AK78" s="60">
        <f t="shared" si="157"/>
        <v>0</v>
      </c>
      <c r="AL78" s="60">
        <f t="shared" si="157"/>
        <v>0</v>
      </c>
      <c r="AM78" s="60">
        <f t="shared" si="157"/>
        <v>0</v>
      </c>
      <c r="AN78" s="60">
        <f t="shared" si="157"/>
        <v>0</v>
      </c>
      <c r="AO78" s="83">
        <f t="shared" si="157"/>
        <v>0</v>
      </c>
      <c r="AP78" s="60">
        <f t="shared" si="157"/>
        <v>0</v>
      </c>
      <c r="AQ78" s="60">
        <f t="shared" si="157"/>
        <v>0</v>
      </c>
      <c r="AR78" s="60">
        <f t="shared" si="157"/>
        <v>0</v>
      </c>
      <c r="AS78" s="60">
        <f t="shared" si="157"/>
        <v>0</v>
      </c>
      <c r="AT78" s="60">
        <f t="shared" si="157"/>
        <v>0</v>
      </c>
      <c r="AU78" s="83">
        <f t="shared" si="157"/>
        <v>0</v>
      </c>
      <c r="AV78" s="60">
        <f t="shared" si="157"/>
        <v>0</v>
      </c>
      <c r="AW78" s="60">
        <f t="shared" si="157"/>
        <v>0</v>
      </c>
      <c r="AX78" s="60">
        <f t="shared" ref="AX78:BW78" si="158">SUM(AX76:AX77)</f>
        <v>0</v>
      </c>
      <c r="AY78" s="60">
        <f t="shared" si="158"/>
        <v>0</v>
      </c>
      <c r="AZ78" s="60">
        <f t="shared" si="158"/>
        <v>0</v>
      </c>
      <c r="BA78" s="83">
        <f t="shared" si="158"/>
        <v>0</v>
      </c>
      <c r="BB78" s="60">
        <f t="shared" si="158"/>
        <v>0</v>
      </c>
      <c r="BC78" s="60">
        <f t="shared" si="158"/>
        <v>0</v>
      </c>
      <c r="BD78" s="60">
        <f t="shared" si="158"/>
        <v>0</v>
      </c>
      <c r="BE78" s="60">
        <f t="shared" si="158"/>
        <v>0</v>
      </c>
      <c r="BF78" s="60">
        <f t="shared" si="158"/>
        <v>0</v>
      </c>
      <c r="BG78" s="83">
        <f t="shared" si="158"/>
        <v>0</v>
      </c>
      <c r="BH78" s="60">
        <f t="shared" si="158"/>
        <v>0</v>
      </c>
      <c r="BI78" s="60">
        <f t="shared" si="158"/>
        <v>0</v>
      </c>
      <c r="BJ78" s="60">
        <f t="shared" si="158"/>
        <v>0</v>
      </c>
      <c r="BK78" s="60">
        <f t="shared" si="158"/>
        <v>0</v>
      </c>
      <c r="BL78" s="60">
        <f t="shared" si="158"/>
        <v>0</v>
      </c>
      <c r="BM78" s="83">
        <f t="shared" si="158"/>
        <v>0</v>
      </c>
      <c r="BN78" s="60">
        <f t="shared" si="158"/>
        <v>0</v>
      </c>
      <c r="BO78" s="60">
        <f t="shared" si="158"/>
        <v>0</v>
      </c>
      <c r="BP78" s="60">
        <f t="shared" si="158"/>
        <v>0</v>
      </c>
      <c r="BQ78" s="60">
        <f t="shared" si="158"/>
        <v>0</v>
      </c>
      <c r="BR78" s="60">
        <f t="shared" si="158"/>
        <v>0</v>
      </c>
      <c r="BS78" s="83">
        <f t="shared" si="158"/>
        <v>0</v>
      </c>
      <c r="BT78" s="60">
        <f t="shared" si="158"/>
        <v>0</v>
      </c>
      <c r="BU78" s="60">
        <f t="shared" si="158"/>
        <v>0</v>
      </c>
      <c r="BV78" s="60">
        <f t="shared" si="158"/>
        <v>0</v>
      </c>
      <c r="BW78" s="60">
        <f t="shared" si="158"/>
        <v>0</v>
      </c>
      <c r="BX78" s="60">
        <f t="shared" ref="BX78:CK78" si="159">SUM(BX76:BX77)</f>
        <v>0</v>
      </c>
      <c r="BY78" s="83">
        <f t="shared" si="159"/>
        <v>0</v>
      </c>
      <c r="BZ78" s="60">
        <f t="shared" si="159"/>
        <v>0</v>
      </c>
      <c r="CA78" s="60">
        <f t="shared" si="159"/>
        <v>0</v>
      </c>
      <c r="CB78" s="60">
        <f t="shared" si="159"/>
        <v>0</v>
      </c>
      <c r="CC78" s="60">
        <f t="shared" si="159"/>
        <v>0</v>
      </c>
      <c r="CD78" s="60">
        <f t="shared" si="159"/>
        <v>0</v>
      </c>
      <c r="CE78" s="83">
        <f t="shared" si="159"/>
        <v>0</v>
      </c>
      <c r="CF78" s="60">
        <f t="shared" si="159"/>
        <v>0</v>
      </c>
      <c r="CG78" s="60">
        <f t="shared" si="159"/>
        <v>0</v>
      </c>
      <c r="CH78" s="60">
        <f t="shared" si="159"/>
        <v>0</v>
      </c>
      <c r="CI78" s="60">
        <f t="shared" si="159"/>
        <v>0</v>
      </c>
      <c r="CJ78" s="60">
        <f t="shared" si="159"/>
        <v>0</v>
      </c>
      <c r="CK78" s="83">
        <f t="shared" si="159"/>
        <v>0</v>
      </c>
      <c r="CL78" s="82">
        <f t="shared" si="146"/>
        <v>0</v>
      </c>
      <c r="CM78" s="82">
        <f t="shared" si="146"/>
        <v>0</v>
      </c>
      <c r="CN78" s="82">
        <f t="shared" si="146"/>
        <v>0</v>
      </c>
      <c r="CO78" s="82">
        <f t="shared" si="141"/>
        <v>0</v>
      </c>
      <c r="CP78" s="82">
        <f t="shared" si="141"/>
        <v>0</v>
      </c>
      <c r="CQ78" s="82">
        <f t="shared" si="141"/>
        <v>0</v>
      </c>
      <c r="CR78" s="37">
        <f t="shared" si="148"/>
        <v>0</v>
      </c>
      <c r="CS78" s="39">
        <f t="shared" si="89"/>
        <v>0</v>
      </c>
      <c r="CT78" s="53">
        <f t="shared" si="90"/>
        <v>0</v>
      </c>
      <c r="CU78" s="39">
        <f t="shared" si="91"/>
        <v>0</v>
      </c>
      <c r="CV78" s="39">
        <f t="shared" si="92"/>
        <v>0</v>
      </c>
      <c r="CW78" s="39">
        <f t="shared" si="93"/>
        <v>0</v>
      </c>
      <c r="CX78" s="39">
        <f t="shared" si="94"/>
        <v>0</v>
      </c>
      <c r="CY78" s="39">
        <f t="shared" si="95"/>
        <v>0</v>
      </c>
      <c r="CZ78" s="39">
        <f t="shared" si="96"/>
        <v>0</v>
      </c>
      <c r="DA78" s="39">
        <f t="shared" si="97"/>
        <v>0</v>
      </c>
      <c r="DB78" s="39">
        <f t="shared" si="98"/>
        <v>0</v>
      </c>
      <c r="DC78" s="39">
        <f t="shared" si="99"/>
        <v>0</v>
      </c>
      <c r="DD78" s="39">
        <f>+HLOOKUP('Reporte Evolución Mensual'!$F$2-2,$CR$2:$DC$251, Input!$DG78, FALSE)</f>
        <v>0</v>
      </c>
      <c r="DE78" s="39">
        <f>+HLOOKUP('Reporte Evolución Mensual'!$F$2-1,$CR$2:$DC$251, Input!$DG78, FALSE)</f>
        <v>0</v>
      </c>
      <c r="DF78" s="39">
        <f>+HLOOKUP('Reporte Evolución Mensual'!$F$2,$CR$2:$DC$371, Input!$DG78, FALSE)</f>
        <v>0</v>
      </c>
      <c r="DG78" s="40">
        <f t="shared" si="37"/>
        <v>78</v>
      </c>
      <c r="DH78" s="84"/>
      <c r="DI78" s="37">
        <f t="shared" si="149"/>
        <v>0</v>
      </c>
      <c r="DJ78" s="37">
        <f t="shared" si="150"/>
        <v>0</v>
      </c>
      <c r="DK78" s="37">
        <f t="shared" si="150"/>
        <v>0</v>
      </c>
      <c r="DL78" s="37">
        <f t="shared" si="150"/>
        <v>0</v>
      </c>
      <c r="DM78" s="37">
        <f t="shared" si="150"/>
        <v>0</v>
      </c>
      <c r="DN78" s="37">
        <f t="shared" si="150"/>
        <v>0</v>
      </c>
      <c r="DO78" s="37">
        <f t="shared" si="150"/>
        <v>0</v>
      </c>
      <c r="DP78" s="37">
        <f t="shared" si="150"/>
        <v>0</v>
      </c>
      <c r="DQ78" s="37">
        <f t="shared" si="150"/>
        <v>0</v>
      </c>
      <c r="DR78" s="37">
        <f t="shared" si="150"/>
        <v>0</v>
      </c>
      <c r="DS78" s="37">
        <f t="shared" si="150"/>
        <v>0</v>
      </c>
      <c r="DT78" s="37">
        <f t="shared" si="150"/>
        <v>0</v>
      </c>
      <c r="DU78" s="1"/>
      <c r="DV78" s="345"/>
    </row>
    <row r="79" spans="1:126" ht="15" customHeight="1" x14ac:dyDescent="0.3">
      <c r="A79" s="1" t="str">
        <f t="shared" si="137"/>
        <v>ADIFSE</v>
      </c>
      <c r="B79" s="1" t="str">
        <f t="shared" si="138"/>
        <v>ADIFSE</v>
      </c>
      <c r="C79" s="1" t="str">
        <f t="shared" si="139"/>
        <v>MAY</v>
      </c>
      <c r="D79" s="1" t="s">
        <v>163</v>
      </c>
      <c r="E79" s="69" t="str">
        <f t="shared" si="147"/>
        <v>Transferencias - ADIF</v>
      </c>
      <c r="F79" s="62" t="s">
        <v>212</v>
      </c>
      <c r="G79" s="16" t="s">
        <v>230</v>
      </c>
      <c r="H79" s="7" t="s">
        <v>222</v>
      </c>
      <c r="I79" s="7" t="s">
        <v>213</v>
      </c>
      <c r="J79" s="7" t="s">
        <v>166</v>
      </c>
      <c r="K79" s="51"/>
      <c r="L79" s="51"/>
      <c r="M79" s="51"/>
      <c r="N79" s="51"/>
      <c r="O79" s="51"/>
      <c r="P79" s="51"/>
      <c r="Q79" s="35">
        <f t="shared" si="13"/>
        <v>0</v>
      </c>
      <c r="R79" s="51"/>
      <c r="S79" s="51">
        <f>+S20</f>
        <v>0</v>
      </c>
      <c r="T79" s="51"/>
      <c r="U79" s="51"/>
      <c r="V79" s="51"/>
      <c r="W79" s="36">
        <f t="shared" si="14"/>
        <v>0</v>
      </c>
      <c r="X79" s="51"/>
      <c r="Y79" s="51"/>
      <c r="Z79" s="51"/>
      <c r="AA79" s="51"/>
      <c r="AB79" s="51"/>
      <c r="AC79" s="52">
        <f t="shared" si="15"/>
        <v>0</v>
      </c>
      <c r="AD79" s="51"/>
      <c r="AE79" s="51"/>
      <c r="AF79" s="51"/>
      <c r="AG79" s="51"/>
      <c r="AH79" s="51"/>
      <c r="AI79" s="52">
        <f t="shared" si="16"/>
        <v>0</v>
      </c>
      <c r="AJ79" s="51"/>
      <c r="AK79" s="51"/>
      <c r="AL79" s="51"/>
      <c r="AM79" s="51"/>
      <c r="AN79" s="51"/>
      <c r="AO79" s="52">
        <f t="shared" si="17"/>
        <v>0</v>
      </c>
      <c r="AP79" s="51"/>
      <c r="AQ79" s="51"/>
      <c r="AR79" s="51"/>
      <c r="AS79" s="51"/>
      <c r="AT79" s="51"/>
      <c r="AU79" s="52">
        <f t="shared" si="18"/>
        <v>0</v>
      </c>
      <c r="AV79" s="51"/>
      <c r="AW79" s="51"/>
      <c r="AX79" s="51"/>
      <c r="AY79" s="51"/>
      <c r="AZ79" s="51"/>
      <c r="BA79" s="52">
        <f t="shared" si="19"/>
        <v>0</v>
      </c>
      <c r="BB79" s="51"/>
      <c r="BC79" s="51"/>
      <c r="BD79" s="51"/>
      <c r="BE79" s="51"/>
      <c r="BF79" s="51"/>
      <c r="BG79" s="52">
        <f t="shared" si="20"/>
        <v>0</v>
      </c>
      <c r="BH79" s="51"/>
      <c r="BI79" s="51"/>
      <c r="BJ79" s="51"/>
      <c r="BK79" s="51"/>
      <c r="BL79" s="51"/>
      <c r="BM79" s="52">
        <f t="shared" si="21"/>
        <v>0</v>
      </c>
      <c r="BN79" s="51"/>
      <c r="BO79" s="51"/>
      <c r="BP79" s="51"/>
      <c r="BQ79" s="51"/>
      <c r="BR79" s="51"/>
      <c r="BS79" s="52">
        <f t="shared" si="22"/>
        <v>0</v>
      </c>
      <c r="BT79" s="51"/>
      <c r="BU79" s="51"/>
      <c r="BV79" s="51"/>
      <c r="BW79" s="51"/>
      <c r="BX79" s="51"/>
      <c r="BY79" s="52">
        <f t="shared" si="23"/>
        <v>0</v>
      </c>
      <c r="BZ79" s="51"/>
      <c r="CA79" s="51"/>
      <c r="CB79" s="51"/>
      <c r="CC79" s="51"/>
      <c r="CD79" s="51"/>
      <c r="CE79" s="52">
        <f t="shared" si="24"/>
        <v>0</v>
      </c>
      <c r="CF79" s="51"/>
      <c r="CG79" s="51"/>
      <c r="CH79" s="51"/>
      <c r="CI79" s="51"/>
      <c r="CJ79" s="51"/>
      <c r="CK79" s="68">
        <f t="shared" si="25"/>
        <v>0</v>
      </c>
      <c r="CL79" s="67">
        <f t="shared" si="146"/>
        <v>0</v>
      </c>
      <c r="CM79" s="67">
        <f t="shared" si="146"/>
        <v>0</v>
      </c>
      <c r="CN79" s="67">
        <f t="shared" si="146"/>
        <v>0</v>
      </c>
      <c r="CO79" s="67">
        <f t="shared" si="141"/>
        <v>0</v>
      </c>
      <c r="CP79" s="67">
        <f t="shared" si="141"/>
        <v>0</v>
      </c>
      <c r="CQ79" s="67">
        <f t="shared" si="141"/>
        <v>0</v>
      </c>
      <c r="CR79" s="37">
        <f t="shared" si="148"/>
        <v>0</v>
      </c>
      <c r="CS79" s="39">
        <f t="shared" si="89"/>
        <v>0</v>
      </c>
      <c r="CT79" s="53">
        <f t="shared" si="90"/>
        <v>0</v>
      </c>
      <c r="CU79" s="39">
        <f t="shared" si="91"/>
        <v>0</v>
      </c>
      <c r="CV79" s="39">
        <f t="shared" si="92"/>
        <v>0</v>
      </c>
      <c r="CW79" s="39">
        <f t="shared" si="93"/>
        <v>0</v>
      </c>
      <c r="CX79" s="39">
        <f t="shared" si="94"/>
        <v>0</v>
      </c>
      <c r="CY79" s="39">
        <f t="shared" si="95"/>
        <v>0</v>
      </c>
      <c r="CZ79" s="39">
        <f t="shared" si="96"/>
        <v>0</v>
      </c>
      <c r="DA79" s="39">
        <f t="shared" si="97"/>
        <v>0</v>
      </c>
      <c r="DB79" s="39">
        <f t="shared" si="98"/>
        <v>0</v>
      </c>
      <c r="DC79" s="39">
        <f t="shared" si="99"/>
        <v>0</v>
      </c>
      <c r="DD79" s="39">
        <f>+HLOOKUP('Reporte Evolución Mensual'!$F$2-2,$CR$2:$DC$251, Input!$DG79, FALSE)</f>
        <v>0</v>
      </c>
      <c r="DE79" s="39">
        <f>+HLOOKUP('Reporte Evolución Mensual'!$F$2-1,$CR$2:$DC$251, Input!$DG79, FALSE)</f>
        <v>0</v>
      </c>
      <c r="DF79" s="39">
        <f>+HLOOKUP('Reporte Evolución Mensual'!$F$2,$CR$2:$DC$371, Input!$DG79, FALSE)</f>
        <v>0</v>
      </c>
      <c r="DG79" s="40">
        <f t="shared" si="37"/>
        <v>79</v>
      </c>
      <c r="DH79" s="39"/>
      <c r="DI79" s="37">
        <f t="shared" si="149"/>
        <v>0</v>
      </c>
      <c r="DJ79" s="37">
        <f t="shared" si="150"/>
        <v>0</v>
      </c>
      <c r="DK79" s="37">
        <f t="shared" si="150"/>
        <v>0</v>
      </c>
      <c r="DL79" s="37">
        <f t="shared" si="150"/>
        <v>0</v>
      </c>
      <c r="DM79" s="37">
        <f t="shared" si="150"/>
        <v>0</v>
      </c>
      <c r="DN79" s="37">
        <f t="shared" si="150"/>
        <v>0</v>
      </c>
      <c r="DO79" s="37">
        <f t="shared" si="150"/>
        <v>0</v>
      </c>
      <c r="DP79" s="37">
        <f t="shared" si="150"/>
        <v>0</v>
      </c>
      <c r="DQ79" s="37">
        <f t="shared" si="150"/>
        <v>0</v>
      </c>
      <c r="DR79" s="37">
        <f t="shared" si="150"/>
        <v>0</v>
      </c>
      <c r="DS79" s="37">
        <f t="shared" si="150"/>
        <v>0</v>
      </c>
      <c r="DT79" s="37">
        <f t="shared" si="150"/>
        <v>0</v>
      </c>
      <c r="DU79" s="1"/>
      <c r="DV79" s="345" t="s">
        <v>163</v>
      </c>
    </row>
    <row r="80" spans="1:126" ht="15" customHeight="1" x14ac:dyDescent="0.3">
      <c r="A80" s="1" t="str">
        <f t="shared" si="137"/>
        <v>ADIFSE</v>
      </c>
      <c r="B80" s="1" t="str">
        <f t="shared" si="138"/>
        <v>ADIFSE</v>
      </c>
      <c r="C80" s="1" t="str">
        <f t="shared" si="139"/>
        <v>MAY</v>
      </c>
      <c r="D80" s="1" t="s">
        <v>163</v>
      </c>
      <c r="E80" s="69" t="str">
        <f t="shared" si="147"/>
        <v>Transferencias - SOFSE</v>
      </c>
      <c r="F80" s="62" t="s">
        <v>214</v>
      </c>
      <c r="G80" s="16" t="s">
        <v>230</v>
      </c>
      <c r="H80" s="7" t="s">
        <v>222</v>
      </c>
      <c r="I80" s="7" t="s">
        <v>215</v>
      </c>
      <c r="J80" s="7" t="s">
        <v>166</v>
      </c>
      <c r="K80" s="51"/>
      <c r="L80" s="51"/>
      <c r="M80" s="51"/>
      <c r="N80" s="51"/>
      <c r="O80" s="51"/>
      <c r="P80" s="51"/>
      <c r="Q80" s="35">
        <f t="shared" si="13"/>
        <v>0</v>
      </c>
      <c r="R80" s="51"/>
      <c r="S80" s="51"/>
      <c r="T80" s="51"/>
      <c r="U80" s="51"/>
      <c r="V80" s="51"/>
      <c r="W80" s="36">
        <f t="shared" si="14"/>
        <v>0</v>
      </c>
      <c r="X80" s="51"/>
      <c r="Y80" s="51"/>
      <c r="Z80" s="51"/>
      <c r="AA80" s="51"/>
      <c r="AB80" s="51"/>
      <c r="AC80" s="52">
        <f t="shared" si="15"/>
        <v>0</v>
      </c>
      <c r="AD80" s="51"/>
      <c r="AE80" s="51"/>
      <c r="AF80" s="51"/>
      <c r="AG80" s="51"/>
      <c r="AH80" s="51"/>
      <c r="AI80" s="52">
        <f t="shared" si="16"/>
        <v>0</v>
      </c>
      <c r="AJ80" s="51"/>
      <c r="AK80" s="51"/>
      <c r="AL80" s="51"/>
      <c r="AM80" s="51"/>
      <c r="AN80" s="51"/>
      <c r="AO80" s="52">
        <f t="shared" si="17"/>
        <v>0</v>
      </c>
      <c r="AP80" s="51"/>
      <c r="AQ80" s="51"/>
      <c r="AR80" s="51"/>
      <c r="AS80" s="51"/>
      <c r="AT80" s="51"/>
      <c r="AU80" s="52">
        <f t="shared" si="18"/>
        <v>0</v>
      </c>
      <c r="AV80" s="51"/>
      <c r="AW80" s="51"/>
      <c r="AX80" s="51"/>
      <c r="AY80" s="51"/>
      <c r="AZ80" s="51"/>
      <c r="BA80" s="52">
        <f t="shared" si="19"/>
        <v>0</v>
      </c>
      <c r="BB80" s="51"/>
      <c r="BC80" s="51"/>
      <c r="BD80" s="51"/>
      <c r="BE80" s="51"/>
      <c r="BF80" s="51"/>
      <c r="BG80" s="52">
        <f t="shared" si="20"/>
        <v>0</v>
      </c>
      <c r="BH80" s="51"/>
      <c r="BI80" s="51"/>
      <c r="BJ80" s="51"/>
      <c r="BK80" s="51"/>
      <c r="BL80" s="51"/>
      <c r="BM80" s="52">
        <f t="shared" si="21"/>
        <v>0</v>
      </c>
      <c r="BN80" s="51"/>
      <c r="BO80" s="51"/>
      <c r="BP80" s="51"/>
      <c r="BQ80" s="51"/>
      <c r="BR80" s="51"/>
      <c r="BS80" s="52">
        <f t="shared" si="22"/>
        <v>0</v>
      </c>
      <c r="BT80" s="51"/>
      <c r="BU80" s="51"/>
      <c r="BV80" s="51"/>
      <c r="BW80" s="51"/>
      <c r="BX80" s="51"/>
      <c r="BY80" s="52">
        <f t="shared" si="23"/>
        <v>0</v>
      </c>
      <c r="BZ80" s="51"/>
      <c r="CA80" s="51"/>
      <c r="CB80" s="51"/>
      <c r="CC80" s="51"/>
      <c r="CD80" s="51"/>
      <c r="CE80" s="52">
        <f t="shared" si="24"/>
        <v>0</v>
      </c>
      <c r="CF80" s="51"/>
      <c r="CG80" s="51"/>
      <c r="CH80" s="51"/>
      <c r="CI80" s="51"/>
      <c r="CJ80" s="51"/>
      <c r="CK80" s="68">
        <f t="shared" si="25"/>
        <v>0</v>
      </c>
      <c r="CL80" s="67">
        <f t="shared" si="146"/>
        <v>0</v>
      </c>
      <c r="CM80" s="67">
        <f t="shared" si="146"/>
        <v>0</v>
      </c>
      <c r="CN80" s="67">
        <f t="shared" si="146"/>
        <v>0</v>
      </c>
      <c r="CO80" s="67">
        <f t="shared" si="141"/>
        <v>0</v>
      </c>
      <c r="CP80" s="67">
        <f t="shared" si="141"/>
        <v>0</v>
      </c>
      <c r="CQ80" s="67">
        <f t="shared" si="141"/>
        <v>0</v>
      </c>
      <c r="CR80" s="37">
        <f t="shared" si="148"/>
        <v>0</v>
      </c>
      <c r="CS80" s="39">
        <f t="shared" si="89"/>
        <v>0</v>
      </c>
      <c r="CT80" s="53">
        <f t="shared" si="90"/>
        <v>0</v>
      </c>
      <c r="CU80" s="39">
        <f t="shared" si="91"/>
        <v>0</v>
      </c>
      <c r="CV80" s="39">
        <f t="shared" si="92"/>
        <v>0</v>
      </c>
      <c r="CW80" s="39">
        <f t="shared" si="93"/>
        <v>0</v>
      </c>
      <c r="CX80" s="39">
        <f t="shared" si="94"/>
        <v>0</v>
      </c>
      <c r="CY80" s="39">
        <f t="shared" si="95"/>
        <v>0</v>
      </c>
      <c r="CZ80" s="39">
        <f t="shared" si="96"/>
        <v>0</v>
      </c>
      <c r="DA80" s="39">
        <f t="shared" si="97"/>
        <v>0</v>
      </c>
      <c r="DB80" s="39">
        <f t="shared" si="98"/>
        <v>0</v>
      </c>
      <c r="DC80" s="39">
        <f t="shared" si="99"/>
        <v>0</v>
      </c>
      <c r="DD80" s="39">
        <f>+HLOOKUP('Reporte Evolución Mensual'!$F$2-2,$CR$2:$DC$251, Input!$DG80, FALSE)</f>
        <v>0</v>
      </c>
      <c r="DE80" s="39">
        <f>+HLOOKUP('Reporte Evolución Mensual'!$F$2-1,$CR$2:$DC$251, Input!$DG80, FALSE)</f>
        <v>0</v>
      </c>
      <c r="DF80" s="39">
        <f>+HLOOKUP('Reporte Evolución Mensual'!$F$2,$CR$2:$DC$371, Input!$DG80, FALSE)</f>
        <v>0</v>
      </c>
      <c r="DG80" s="40">
        <f t="shared" si="37"/>
        <v>80</v>
      </c>
      <c r="DH80" s="39"/>
      <c r="DI80" s="37">
        <f t="shared" si="149"/>
        <v>0</v>
      </c>
      <c r="DJ80" s="37">
        <f t="shared" si="150"/>
        <v>0</v>
      </c>
      <c r="DK80" s="37">
        <f t="shared" si="150"/>
        <v>0</v>
      </c>
      <c r="DL80" s="37">
        <f t="shared" si="150"/>
        <v>0</v>
      </c>
      <c r="DM80" s="37">
        <f t="shared" si="150"/>
        <v>0</v>
      </c>
      <c r="DN80" s="37">
        <f t="shared" si="150"/>
        <v>0</v>
      </c>
      <c r="DO80" s="37">
        <f t="shared" si="150"/>
        <v>0</v>
      </c>
      <c r="DP80" s="37">
        <f t="shared" si="150"/>
        <v>0</v>
      </c>
      <c r="DQ80" s="37">
        <f t="shared" si="150"/>
        <v>0</v>
      </c>
      <c r="DR80" s="37">
        <f t="shared" si="150"/>
        <v>0</v>
      </c>
      <c r="DS80" s="37">
        <f t="shared" si="150"/>
        <v>0</v>
      </c>
      <c r="DT80" s="37">
        <f t="shared" si="150"/>
        <v>0</v>
      </c>
      <c r="DU80" s="1"/>
      <c r="DV80" s="345" t="s">
        <v>163</v>
      </c>
    </row>
    <row r="81" spans="1:126" ht="15" customHeight="1" x14ac:dyDescent="0.3">
      <c r="A81" s="1" t="str">
        <f t="shared" si="137"/>
        <v>ADIFSE</v>
      </c>
      <c r="B81" s="1" t="str">
        <f t="shared" si="138"/>
        <v>ADIFSE</v>
      </c>
      <c r="C81" s="1" t="str">
        <f t="shared" si="139"/>
        <v>MAY</v>
      </c>
      <c r="D81" s="1" t="s">
        <v>163</v>
      </c>
      <c r="E81" s="69" t="str">
        <f t="shared" si="147"/>
        <v>Transferencias - Fideicomiso ANAC</v>
      </c>
      <c r="F81" s="62" t="s">
        <v>244</v>
      </c>
      <c r="G81" s="16" t="s">
        <v>230</v>
      </c>
      <c r="H81" s="7" t="s">
        <v>222</v>
      </c>
      <c r="I81" s="7" t="s">
        <v>245</v>
      </c>
      <c r="J81" s="7" t="s">
        <v>166</v>
      </c>
      <c r="K81" s="51"/>
      <c r="L81" s="51"/>
      <c r="M81" s="51"/>
      <c r="N81" s="51"/>
      <c r="O81" s="51"/>
      <c r="P81" s="51"/>
      <c r="Q81" s="35">
        <f t="shared" si="13"/>
        <v>0</v>
      </c>
      <c r="R81" s="51"/>
      <c r="S81" s="51"/>
      <c r="T81" s="51"/>
      <c r="U81" s="51"/>
      <c r="V81" s="51"/>
      <c r="W81" s="36">
        <f t="shared" si="14"/>
        <v>0</v>
      </c>
      <c r="X81" s="51"/>
      <c r="Y81" s="51"/>
      <c r="Z81" s="51"/>
      <c r="AA81" s="51"/>
      <c r="AB81" s="51"/>
      <c r="AC81" s="52">
        <f t="shared" si="15"/>
        <v>0</v>
      </c>
      <c r="AD81" s="51"/>
      <c r="AE81" s="51"/>
      <c r="AF81" s="51"/>
      <c r="AG81" s="51"/>
      <c r="AH81" s="51"/>
      <c r="AI81" s="52">
        <f t="shared" si="16"/>
        <v>0</v>
      </c>
      <c r="AJ81" s="51"/>
      <c r="AK81" s="51"/>
      <c r="AL81" s="51"/>
      <c r="AM81" s="51"/>
      <c r="AN81" s="51"/>
      <c r="AO81" s="52">
        <f t="shared" si="17"/>
        <v>0</v>
      </c>
      <c r="AP81" s="51"/>
      <c r="AQ81" s="51"/>
      <c r="AR81" s="51"/>
      <c r="AS81" s="51"/>
      <c r="AT81" s="51"/>
      <c r="AU81" s="52">
        <f t="shared" si="18"/>
        <v>0</v>
      </c>
      <c r="AV81" s="51"/>
      <c r="AW81" s="51"/>
      <c r="AX81" s="51"/>
      <c r="AY81" s="51"/>
      <c r="AZ81" s="51"/>
      <c r="BA81" s="52">
        <f t="shared" si="19"/>
        <v>0</v>
      </c>
      <c r="BB81" s="51"/>
      <c r="BC81" s="51"/>
      <c r="BD81" s="51"/>
      <c r="BE81" s="51"/>
      <c r="BF81" s="51"/>
      <c r="BG81" s="52">
        <f t="shared" si="20"/>
        <v>0</v>
      </c>
      <c r="BH81" s="51"/>
      <c r="BI81" s="51"/>
      <c r="BJ81" s="51"/>
      <c r="BK81" s="51"/>
      <c r="BL81" s="51"/>
      <c r="BM81" s="52">
        <f t="shared" si="21"/>
        <v>0</v>
      </c>
      <c r="BN81" s="51"/>
      <c r="BO81" s="51"/>
      <c r="BP81" s="51"/>
      <c r="BQ81" s="51"/>
      <c r="BR81" s="51"/>
      <c r="BS81" s="52">
        <f t="shared" si="22"/>
        <v>0</v>
      </c>
      <c r="BT81" s="51"/>
      <c r="BU81" s="51"/>
      <c r="BV81" s="51"/>
      <c r="BW81" s="51"/>
      <c r="BX81" s="51"/>
      <c r="BY81" s="52">
        <f t="shared" si="23"/>
        <v>0</v>
      </c>
      <c r="BZ81" s="51"/>
      <c r="CA81" s="51"/>
      <c r="CB81" s="51"/>
      <c r="CC81" s="51"/>
      <c r="CD81" s="51"/>
      <c r="CE81" s="52">
        <f t="shared" si="24"/>
        <v>0</v>
      </c>
      <c r="CF81" s="51"/>
      <c r="CG81" s="51"/>
      <c r="CH81" s="51"/>
      <c r="CI81" s="51"/>
      <c r="CJ81" s="51"/>
      <c r="CK81" s="68">
        <f t="shared" si="25"/>
        <v>0</v>
      </c>
      <c r="CL81" s="67">
        <f t="shared" si="146"/>
        <v>0</v>
      </c>
      <c r="CM81" s="67">
        <f t="shared" si="146"/>
        <v>0</v>
      </c>
      <c r="CN81" s="67">
        <f t="shared" si="146"/>
        <v>0</v>
      </c>
      <c r="CO81" s="67">
        <f t="shared" si="141"/>
        <v>0</v>
      </c>
      <c r="CP81" s="67">
        <f t="shared" si="141"/>
        <v>0</v>
      </c>
      <c r="CQ81" s="67">
        <f t="shared" si="141"/>
        <v>0</v>
      </c>
      <c r="CR81" s="37">
        <f t="shared" si="148"/>
        <v>0</v>
      </c>
      <c r="CS81" s="39">
        <f t="shared" si="89"/>
        <v>0</v>
      </c>
      <c r="CT81" s="53">
        <f t="shared" si="90"/>
        <v>0</v>
      </c>
      <c r="CU81" s="39">
        <f t="shared" si="91"/>
        <v>0</v>
      </c>
      <c r="CV81" s="39">
        <f t="shared" si="92"/>
        <v>0</v>
      </c>
      <c r="CW81" s="39">
        <f t="shared" si="93"/>
        <v>0</v>
      </c>
      <c r="CX81" s="39">
        <f t="shared" si="94"/>
        <v>0</v>
      </c>
      <c r="CY81" s="39">
        <f t="shared" si="95"/>
        <v>0</v>
      </c>
      <c r="CZ81" s="39">
        <f t="shared" si="96"/>
        <v>0</v>
      </c>
      <c r="DA81" s="39">
        <f t="shared" si="97"/>
        <v>0</v>
      </c>
      <c r="DB81" s="39">
        <f t="shared" si="98"/>
        <v>0</v>
      </c>
      <c r="DC81" s="39">
        <f t="shared" si="99"/>
        <v>0</v>
      </c>
      <c r="DD81" s="39">
        <f>+HLOOKUP('Reporte Evolución Mensual'!$F$2-2,$CR$2:$DC$251, Input!$DG81, FALSE)</f>
        <v>0</v>
      </c>
      <c r="DE81" s="39">
        <f>+HLOOKUP('Reporte Evolución Mensual'!$F$2-1,$CR$2:$DC$251, Input!$DG81, FALSE)</f>
        <v>0</v>
      </c>
      <c r="DF81" s="39">
        <f>+HLOOKUP('Reporte Evolución Mensual'!$F$2,$CR$2:$DC$371, Input!$DG81, FALSE)</f>
        <v>0</v>
      </c>
      <c r="DG81" s="40">
        <f t="shared" ref="DG81:DG112" si="160">+DG80+1</f>
        <v>81</v>
      </c>
      <c r="DH81" s="39"/>
      <c r="DI81" s="37">
        <f t="shared" si="149"/>
        <v>0</v>
      </c>
      <c r="DJ81" s="37">
        <f t="shared" si="150"/>
        <v>0</v>
      </c>
      <c r="DK81" s="37">
        <f t="shared" si="150"/>
        <v>0</v>
      </c>
      <c r="DL81" s="37">
        <f t="shared" si="150"/>
        <v>0</v>
      </c>
      <c r="DM81" s="37">
        <f t="shared" si="150"/>
        <v>0</v>
      </c>
      <c r="DN81" s="37">
        <f t="shared" si="150"/>
        <v>0</v>
      </c>
      <c r="DO81" s="37">
        <f t="shared" si="150"/>
        <v>0</v>
      </c>
      <c r="DP81" s="37">
        <f t="shared" si="150"/>
        <v>0</v>
      </c>
      <c r="DQ81" s="37">
        <f t="shared" si="150"/>
        <v>0</v>
      </c>
      <c r="DR81" s="37">
        <f t="shared" si="150"/>
        <v>0</v>
      </c>
      <c r="DS81" s="37">
        <f t="shared" si="150"/>
        <v>0</v>
      </c>
      <c r="DT81" s="37">
        <f t="shared" si="150"/>
        <v>0</v>
      </c>
      <c r="DU81" s="1"/>
      <c r="DV81" s="345" t="s">
        <v>108</v>
      </c>
    </row>
    <row r="82" spans="1:126" ht="15" customHeight="1" x14ac:dyDescent="0.3">
      <c r="A82" s="1" t="str">
        <f t="shared" si="137"/>
        <v>ADIFSE</v>
      </c>
      <c r="B82" s="1" t="str">
        <f t="shared" si="138"/>
        <v>ADIFSE</v>
      </c>
      <c r="C82" s="1" t="str">
        <f t="shared" si="139"/>
        <v>MAY</v>
      </c>
      <c r="D82" s="1" t="s">
        <v>163</v>
      </c>
      <c r="E82" s="69" t="str">
        <f t="shared" si="147"/>
        <v>Transferencias - Resto</v>
      </c>
      <c r="F82" s="62" t="s">
        <v>218</v>
      </c>
      <c r="G82" s="16" t="s">
        <v>230</v>
      </c>
      <c r="H82" s="7" t="s">
        <v>222</v>
      </c>
      <c r="I82" s="7" t="s">
        <v>208</v>
      </c>
      <c r="J82" s="7" t="s">
        <v>166</v>
      </c>
      <c r="K82" s="51"/>
      <c r="L82" s="51"/>
      <c r="M82" s="51"/>
      <c r="N82" s="51"/>
      <c r="O82" s="51"/>
      <c r="P82" s="51"/>
      <c r="Q82" s="35">
        <f t="shared" si="13"/>
        <v>0</v>
      </c>
      <c r="R82" s="51"/>
      <c r="S82" s="51"/>
      <c r="T82" s="51"/>
      <c r="U82" s="51"/>
      <c r="V82" s="51"/>
      <c r="W82" s="36">
        <f t="shared" si="14"/>
        <v>0</v>
      </c>
      <c r="X82" s="51"/>
      <c r="Y82" s="51"/>
      <c r="Z82" s="51"/>
      <c r="AA82" s="51"/>
      <c r="AB82" s="51"/>
      <c r="AC82" s="52">
        <f t="shared" si="15"/>
        <v>0</v>
      </c>
      <c r="AD82" s="51"/>
      <c r="AE82" s="51"/>
      <c r="AF82" s="51"/>
      <c r="AG82" s="51"/>
      <c r="AH82" s="51"/>
      <c r="AI82" s="52">
        <f t="shared" si="16"/>
        <v>0</v>
      </c>
      <c r="AJ82" s="51"/>
      <c r="AK82" s="51"/>
      <c r="AL82" s="51"/>
      <c r="AM82" s="51"/>
      <c r="AN82" s="51"/>
      <c r="AO82" s="52">
        <f t="shared" si="17"/>
        <v>0</v>
      </c>
      <c r="AP82" s="51"/>
      <c r="AQ82" s="51"/>
      <c r="AR82" s="51"/>
      <c r="AS82" s="51"/>
      <c r="AT82" s="51"/>
      <c r="AU82" s="52">
        <f t="shared" si="18"/>
        <v>0</v>
      </c>
      <c r="AV82" s="51"/>
      <c r="AW82" s="51"/>
      <c r="AX82" s="51"/>
      <c r="AY82" s="51"/>
      <c r="AZ82" s="51"/>
      <c r="BA82" s="52">
        <f t="shared" si="19"/>
        <v>0</v>
      </c>
      <c r="BB82" s="51"/>
      <c r="BC82" s="51"/>
      <c r="BD82" s="51"/>
      <c r="BE82" s="51"/>
      <c r="BF82" s="51"/>
      <c r="BG82" s="52">
        <f t="shared" si="20"/>
        <v>0</v>
      </c>
      <c r="BH82" s="51"/>
      <c r="BI82" s="51"/>
      <c r="BJ82" s="51"/>
      <c r="BK82" s="51"/>
      <c r="BL82" s="51"/>
      <c r="BM82" s="52">
        <f t="shared" si="21"/>
        <v>0</v>
      </c>
      <c r="BN82" s="51"/>
      <c r="BO82" s="51"/>
      <c r="BP82" s="51"/>
      <c r="BQ82" s="51"/>
      <c r="BR82" s="51"/>
      <c r="BS82" s="52">
        <f t="shared" si="22"/>
        <v>0</v>
      </c>
      <c r="BT82" s="51"/>
      <c r="BU82" s="51"/>
      <c r="BV82" s="51"/>
      <c r="BW82" s="51"/>
      <c r="BX82" s="51"/>
      <c r="BY82" s="52">
        <f t="shared" si="23"/>
        <v>0</v>
      </c>
      <c r="BZ82" s="51"/>
      <c r="CA82" s="51"/>
      <c r="CB82" s="51"/>
      <c r="CC82" s="51"/>
      <c r="CD82" s="51"/>
      <c r="CE82" s="52">
        <f t="shared" si="24"/>
        <v>0</v>
      </c>
      <c r="CF82" s="51"/>
      <c r="CG82" s="51"/>
      <c r="CH82" s="51"/>
      <c r="CI82" s="51"/>
      <c r="CJ82" s="51"/>
      <c r="CK82" s="68">
        <f t="shared" si="25"/>
        <v>0</v>
      </c>
      <c r="CL82" s="67">
        <f t="shared" si="146"/>
        <v>0</v>
      </c>
      <c r="CM82" s="67">
        <f t="shared" si="146"/>
        <v>0</v>
      </c>
      <c r="CN82" s="67">
        <f t="shared" si="146"/>
        <v>0</v>
      </c>
      <c r="CO82" s="67">
        <f t="shared" si="141"/>
        <v>0</v>
      </c>
      <c r="CP82" s="67">
        <f t="shared" si="141"/>
        <v>0</v>
      </c>
      <c r="CQ82" s="67">
        <f t="shared" si="141"/>
        <v>0</v>
      </c>
      <c r="CR82" s="37">
        <f t="shared" si="148"/>
        <v>0</v>
      </c>
      <c r="CS82" s="39">
        <f t="shared" si="89"/>
        <v>0</v>
      </c>
      <c r="CT82" s="53">
        <f t="shared" si="90"/>
        <v>0</v>
      </c>
      <c r="CU82" s="39">
        <f t="shared" si="91"/>
        <v>0</v>
      </c>
      <c r="CV82" s="39">
        <f t="shared" si="92"/>
        <v>0</v>
      </c>
      <c r="CW82" s="39">
        <f t="shared" si="93"/>
        <v>0</v>
      </c>
      <c r="CX82" s="39">
        <f t="shared" si="94"/>
        <v>0</v>
      </c>
      <c r="CY82" s="39">
        <f t="shared" si="95"/>
        <v>0</v>
      </c>
      <c r="CZ82" s="39">
        <f t="shared" si="96"/>
        <v>0</v>
      </c>
      <c r="DA82" s="39">
        <f t="shared" si="97"/>
        <v>0</v>
      </c>
      <c r="DB82" s="39">
        <f t="shared" si="98"/>
        <v>0</v>
      </c>
      <c r="DC82" s="39">
        <f t="shared" si="99"/>
        <v>0</v>
      </c>
      <c r="DD82" s="39">
        <f>+HLOOKUP('Reporte Evolución Mensual'!$F$2-2,$CR$2:$DC$251, Input!$DG82, FALSE)</f>
        <v>0</v>
      </c>
      <c r="DE82" s="39">
        <f>+HLOOKUP('Reporte Evolución Mensual'!$F$2-1,$CR$2:$DC$251, Input!$DG82, FALSE)</f>
        <v>0</v>
      </c>
      <c r="DF82" s="39">
        <f>+HLOOKUP('Reporte Evolución Mensual'!$F$2,$CR$2:$DC$371, Input!$DG82, FALSE)</f>
        <v>0</v>
      </c>
      <c r="DG82" s="40">
        <f t="shared" si="160"/>
        <v>82</v>
      </c>
      <c r="DH82" s="39"/>
      <c r="DI82" s="37">
        <f t="shared" si="149"/>
        <v>0</v>
      </c>
      <c r="DJ82" s="37">
        <f t="shared" si="150"/>
        <v>0</v>
      </c>
      <c r="DK82" s="37">
        <f t="shared" si="150"/>
        <v>0</v>
      </c>
      <c r="DL82" s="37">
        <f t="shared" si="150"/>
        <v>0</v>
      </c>
      <c r="DM82" s="37">
        <f t="shared" si="150"/>
        <v>0</v>
      </c>
      <c r="DN82" s="37">
        <f t="shared" si="150"/>
        <v>0</v>
      </c>
      <c r="DO82" s="37">
        <f t="shared" si="150"/>
        <v>0</v>
      </c>
      <c r="DP82" s="37">
        <f t="shared" si="150"/>
        <v>0</v>
      </c>
      <c r="DQ82" s="37">
        <f t="shared" si="150"/>
        <v>0</v>
      </c>
      <c r="DR82" s="37">
        <f t="shared" si="150"/>
        <v>0</v>
      </c>
      <c r="DS82" s="37">
        <f t="shared" si="150"/>
        <v>0</v>
      </c>
      <c r="DT82" s="37">
        <f t="shared" si="150"/>
        <v>0</v>
      </c>
      <c r="DU82" s="1"/>
      <c r="DV82" s="345" t="s">
        <v>163</v>
      </c>
    </row>
    <row r="83" spans="1:126" ht="15" customHeight="1" x14ac:dyDescent="0.3">
      <c r="A83" s="1" t="str">
        <f t="shared" si="137"/>
        <v>ADIFSE</v>
      </c>
      <c r="B83" s="1" t="str">
        <f t="shared" si="138"/>
        <v>ADIFSE</v>
      </c>
      <c r="C83" s="1" t="str">
        <f t="shared" si="139"/>
        <v>MAY</v>
      </c>
      <c r="D83" s="16" t="s">
        <v>108</v>
      </c>
      <c r="E83" s="70" t="str">
        <f>CONCATENATE(H83," - ",I83)</f>
        <v>Transferencias - Empresas Públicas y Otros Entes</v>
      </c>
      <c r="F83" s="62" t="s">
        <v>246</v>
      </c>
      <c r="G83" s="16" t="s">
        <v>230</v>
      </c>
      <c r="H83" s="7" t="s">
        <v>222</v>
      </c>
      <c r="I83" s="7" t="s">
        <v>220</v>
      </c>
      <c r="J83" s="7" t="s">
        <v>166</v>
      </c>
      <c r="K83" s="60">
        <f>SUM(K79:K82)</f>
        <v>0</v>
      </c>
      <c r="L83" s="38">
        <f t="shared" ref="L83:Q83" si="161">SUM(L79:L82)</f>
        <v>0</v>
      </c>
      <c r="M83" s="38">
        <f t="shared" si="161"/>
        <v>0</v>
      </c>
      <c r="N83" s="38">
        <f t="shared" si="161"/>
        <v>0</v>
      </c>
      <c r="O83" s="38">
        <f t="shared" si="161"/>
        <v>0</v>
      </c>
      <c r="P83" s="38">
        <f t="shared" si="161"/>
        <v>0</v>
      </c>
      <c r="Q83" s="35">
        <f t="shared" si="161"/>
        <v>0</v>
      </c>
      <c r="R83" s="38">
        <f t="shared" ref="R83:AW83" si="162">SUM(R79:R82)</f>
        <v>0</v>
      </c>
      <c r="S83" s="38">
        <f t="shared" si="162"/>
        <v>0</v>
      </c>
      <c r="T83" s="38">
        <f t="shared" si="162"/>
        <v>0</v>
      </c>
      <c r="U83" s="38">
        <f t="shared" si="162"/>
        <v>0</v>
      </c>
      <c r="V83" s="38">
        <f t="shared" si="162"/>
        <v>0</v>
      </c>
      <c r="W83" s="36">
        <f t="shared" si="162"/>
        <v>0</v>
      </c>
      <c r="X83" s="38">
        <f t="shared" si="162"/>
        <v>0</v>
      </c>
      <c r="Y83" s="38">
        <f t="shared" si="162"/>
        <v>0</v>
      </c>
      <c r="Z83" s="38">
        <f t="shared" si="162"/>
        <v>0</v>
      </c>
      <c r="AA83" s="38">
        <f t="shared" si="162"/>
        <v>0</v>
      </c>
      <c r="AB83" s="38">
        <f t="shared" si="162"/>
        <v>0</v>
      </c>
      <c r="AC83" s="36">
        <f t="shared" si="162"/>
        <v>0</v>
      </c>
      <c r="AD83" s="38">
        <f t="shared" si="162"/>
        <v>0</v>
      </c>
      <c r="AE83" s="38">
        <f t="shared" si="162"/>
        <v>0</v>
      </c>
      <c r="AF83" s="38">
        <f t="shared" si="162"/>
        <v>0</v>
      </c>
      <c r="AG83" s="38">
        <f t="shared" si="162"/>
        <v>0</v>
      </c>
      <c r="AH83" s="38">
        <f t="shared" si="162"/>
        <v>0</v>
      </c>
      <c r="AI83" s="36">
        <f t="shared" si="162"/>
        <v>0</v>
      </c>
      <c r="AJ83" s="38">
        <f t="shared" si="162"/>
        <v>0</v>
      </c>
      <c r="AK83" s="38">
        <f t="shared" si="162"/>
        <v>0</v>
      </c>
      <c r="AL83" s="38">
        <f t="shared" si="162"/>
        <v>0</v>
      </c>
      <c r="AM83" s="38">
        <f t="shared" si="162"/>
        <v>0</v>
      </c>
      <c r="AN83" s="38">
        <f t="shared" si="162"/>
        <v>0</v>
      </c>
      <c r="AO83" s="36">
        <f t="shared" si="162"/>
        <v>0</v>
      </c>
      <c r="AP83" s="38">
        <f t="shared" si="162"/>
        <v>0</v>
      </c>
      <c r="AQ83" s="38">
        <f t="shared" si="162"/>
        <v>0</v>
      </c>
      <c r="AR83" s="38">
        <f t="shared" si="162"/>
        <v>0</v>
      </c>
      <c r="AS83" s="38">
        <f t="shared" si="162"/>
        <v>0</v>
      </c>
      <c r="AT83" s="38">
        <f t="shared" si="162"/>
        <v>0</v>
      </c>
      <c r="AU83" s="36">
        <f t="shared" si="162"/>
        <v>0</v>
      </c>
      <c r="AV83" s="38">
        <f t="shared" si="162"/>
        <v>0</v>
      </c>
      <c r="AW83" s="38">
        <f t="shared" si="162"/>
        <v>0</v>
      </c>
      <c r="AX83" s="38">
        <f t="shared" ref="AX83:BW83" si="163">SUM(AX79:AX82)</f>
        <v>0</v>
      </c>
      <c r="AY83" s="38">
        <f t="shared" si="163"/>
        <v>0</v>
      </c>
      <c r="AZ83" s="38">
        <f t="shared" si="163"/>
        <v>0</v>
      </c>
      <c r="BA83" s="36">
        <f t="shared" si="163"/>
        <v>0</v>
      </c>
      <c r="BB83" s="38">
        <f t="shared" si="163"/>
        <v>0</v>
      </c>
      <c r="BC83" s="38">
        <f t="shared" si="163"/>
        <v>0</v>
      </c>
      <c r="BD83" s="38">
        <f t="shared" si="163"/>
        <v>0</v>
      </c>
      <c r="BE83" s="38">
        <f t="shared" si="163"/>
        <v>0</v>
      </c>
      <c r="BF83" s="38">
        <f t="shared" si="163"/>
        <v>0</v>
      </c>
      <c r="BG83" s="36">
        <f t="shared" si="163"/>
        <v>0</v>
      </c>
      <c r="BH83" s="38">
        <f t="shared" si="163"/>
        <v>0</v>
      </c>
      <c r="BI83" s="38">
        <f t="shared" si="163"/>
        <v>0</v>
      </c>
      <c r="BJ83" s="38">
        <f t="shared" si="163"/>
        <v>0</v>
      </c>
      <c r="BK83" s="38">
        <f t="shared" si="163"/>
        <v>0</v>
      </c>
      <c r="BL83" s="38">
        <f t="shared" si="163"/>
        <v>0</v>
      </c>
      <c r="BM83" s="36">
        <f t="shared" si="163"/>
        <v>0</v>
      </c>
      <c r="BN83" s="38">
        <f t="shared" si="163"/>
        <v>0</v>
      </c>
      <c r="BO83" s="38">
        <f t="shared" si="163"/>
        <v>0</v>
      </c>
      <c r="BP83" s="38">
        <f t="shared" si="163"/>
        <v>0</v>
      </c>
      <c r="BQ83" s="38">
        <f t="shared" si="163"/>
        <v>0</v>
      </c>
      <c r="BR83" s="38">
        <f t="shared" si="163"/>
        <v>0</v>
      </c>
      <c r="BS83" s="36">
        <f t="shared" si="163"/>
        <v>0</v>
      </c>
      <c r="BT83" s="38">
        <f t="shared" si="163"/>
        <v>0</v>
      </c>
      <c r="BU83" s="38">
        <f t="shared" si="163"/>
        <v>0</v>
      </c>
      <c r="BV83" s="38">
        <f t="shared" si="163"/>
        <v>0</v>
      </c>
      <c r="BW83" s="38">
        <f t="shared" si="163"/>
        <v>0</v>
      </c>
      <c r="BX83" s="38">
        <f t="shared" ref="BX83:CK83" si="164">SUM(BX79:BX82)</f>
        <v>0</v>
      </c>
      <c r="BY83" s="36">
        <f t="shared" si="164"/>
        <v>0</v>
      </c>
      <c r="BZ83" s="38">
        <f t="shared" si="164"/>
        <v>0</v>
      </c>
      <c r="CA83" s="38">
        <f t="shared" si="164"/>
        <v>0</v>
      </c>
      <c r="CB83" s="38">
        <f t="shared" si="164"/>
        <v>0</v>
      </c>
      <c r="CC83" s="38">
        <f t="shared" si="164"/>
        <v>0</v>
      </c>
      <c r="CD83" s="38">
        <f t="shared" si="164"/>
        <v>0</v>
      </c>
      <c r="CE83" s="36">
        <f t="shared" si="164"/>
        <v>0</v>
      </c>
      <c r="CF83" s="38">
        <f t="shared" si="164"/>
        <v>0</v>
      </c>
      <c r="CG83" s="38">
        <f t="shared" si="164"/>
        <v>0</v>
      </c>
      <c r="CH83" s="38">
        <f t="shared" si="164"/>
        <v>0</v>
      </c>
      <c r="CI83" s="38">
        <f t="shared" si="164"/>
        <v>0</v>
      </c>
      <c r="CJ83" s="38">
        <f t="shared" si="164"/>
        <v>0</v>
      </c>
      <c r="CK83" s="71">
        <f t="shared" si="164"/>
        <v>0</v>
      </c>
      <c r="CL83" s="67">
        <f t="shared" si="146"/>
        <v>0</v>
      </c>
      <c r="CM83" s="67">
        <f t="shared" si="146"/>
        <v>0</v>
      </c>
      <c r="CN83" s="67">
        <f t="shared" si="146"/>
        <v>0</v>
      </c>
      <c r="CO83" s="67">
        <f t="shared" si="141"/>
        <v>0</v>
      </c>
      <c r="CP83" s="67">
        <f t="shared" si="141"/>
        <v>0</v>
      </c>
      <c r="CQ83" s="67">
        <f t="shared" si="141"/>
        <v>0</v>
      </c>
      <c r="CR83" s="37">
        <f t="shared" si="148"/>
        <v>0</v>
      </c>
      <c r="CS83" s="39">
        <f t="shared" si="89"/>
        <v>0</v>
      </c>
      <c r="CT83" s="53">
        <f t="shared" si="90"/>
        <v>0</v>
      </c>
      <c r="CU83" s="39">
        <f t="shared" si="91"/>
        <v>0</v>
      </c>
      <c r="CV83" s="39">
        <f t="shared" si="92"/>
        <v>0</v>
      </c>
      <c r="CW83" s="39">
        <f t="shared" si="93"/>
        <v>0</v>
      </c>
      <c r="CX83" s="39">
        <f t="shared" si="94"/>
        <v>0</v>
      </c>
      <c r="CY83" s="39">
        <f t="shared" si="95"/>
        <v>0</v>
      </c>
      <c r="CZ83" s="39">
        <f t="shared" si="96"/>
        <v>0</v>
      </c>
      <c r="DA83" s="39">
        <f t="shared" si="97"/>
        <v>0</v>
      </c>
      <c r="DB83" s="39">
        <f t="shared" si="98"/>
        <v>0</v>
      </c>
      <c r="DC83" s="39">
        <f t="shared" si="99"/>
        <v>0</v>
      </c>
      <c r="DD83" s="39">
        <f>+HLOOKUP('Reporte Evolución Mensual'!$F$2-2,$CR$2:$DC$251, Input!$DG83, FALSE)</f>
        <v>0</v>
      </c>
      <c r="DE83" s="39">
        <f>+HLOOKUP('Reporte Evolución Mensual'!$F$2-1,$CR$2:$DC$251, Input!$DG83, FALSE)</f>
        <v>0</v>
      </c>
      <c r="DF83" s="39">
        <f>+HLOOKUP('Reporte Evolución Mensual'!$F$2,$CR$2:$DC$371, Input!$DG83, FALSE)</f>
        <v>0</v>
      </c>
      <c r="DG83" s="40">
        <f t="shared" si="160"/>
        <v>83</v>
      </c>
      <c r="DH83" s="37"/>
      <c r="DI83" s="37">
        <f t="shared" si="149"/>
        <v>0</v>
      </c>
      <c r="DJ83" s="37">
        <f t="shared" si="150"/>
        <v>0</v>
      </c>
      <c r="DK83" s="37">
        <f t="shared" si="150"/>
        <v>0</v>
      </c>
      <c r="DL83" s="37">
        <f t="shared" si="150"/>
        <v>0</v>
      </c>
      <c r="DM83" s="37">
        <f t="shared" si="150"/>
        <v>0</v>
      </c>
      <c r="DN83" s="37">
        <f t="shared" si="150"/>
        <v>0</v>
      </c>
      <c r="DO83" s="37">
        <f t="shared" si="150"/>
        <v>0</v>
      </c>
      <c r="DP83" s="37">
        <f t="shared" si="150"/>
        <v>0</v>
      </c>
      <c r="DQ83" s="37">
        <f t="shared" si="150"/>
        <v>0</v>
      </c>
      <c r="DR83" s="37">
        <f t="shared" si="150"/>
        <v>0</v>
      </c>
      <c r="DS83" s="37">
        <f t="shared" si="150"/>
        <v>0</v>
      </c>
      <c r="DT83" s="37">
        <f t="shared" si="150"/>
        <v>0</v>
      </c>
      <c r="DU83" s="1"/>
      <c r="DV83" s="345"/>
    </row>
    <row r="84" spans="1:126" ht="15" customHeight="1" x14ac:dyDescent="0.3">
      <c r="A84" s="1" t="str">
        <f t="shared" si="137"/>
        <v>ADIFSE</v>
      </c>
      <c r="B84" s="1" t="str">
        <f t="shared" si="138"/>
        <v>ADIFSE</v>
      </c>
      <c r="C84" s="1" t="str">
        <f t="shared" si="139"/>
        <v>MAY</v>
      </c>
      <c r="D84" s="41" t="s">
        <v>163</v>
      </c>
      <c r="E84" s="69" t="str">
        <f t="shared" si="147"/>
        <v>Transferencias - Provincias y Municipios</v>
      </c>
      <c r="F84" s="72">
        <v>58</v>
      </c>
      <c r="G84" s="16" t="s">
        <v>230</v>
      </c>
      <c r="H84" s="7" t="s">
        <v>222</v>
      </c>
      <c r="I84" s="7" t="s">
        <v>247</v>
      </c>
      <c r="J84" s="7" t="s">
        <v>166</v>
      </c>
      <c r="K84" s="51"/>
      <c r="L84" s="51"/>
      <c r="M84" s="51"/>
      <c r="N84" s="51"/>
      <c r="O84" s="51"/>
      <c r="P84" s="51"/>
      <c r="Q84" s="67">
        <f t="shared" si="13"/>
        <v>0</v>
      </c>
      <c r="R84" s="51"/>
      <c r="S84" s="51"/>
      <c r="T84" s="51"/>
      <c r="U84" s="51"/>
      <c r="V84" s="51"/>
      <c r="W84" s="68">
        <f t="shared" si="14"/>
        <v>0</v>
      </c>
      <c r="X84" s="51"/>
      <c r="Y84" s="51"/>
      <c r="Z84" s="51"/>
      <c r="AA84" s="51"/>
      <c r="AB84" s="51"/>
      <c r="AC84" s="68">
        <f t="shared" si="15"/>
        <v>0</v>
      </c>
      <c r="AD84" s="51"/>
      <c r="AE84" s="51"/>
      <c r="AF84" s="51"/>
      <c r="AG84" s="51"/>
      <c r="AH84" s="51"/>
      <c r="AI84" s="68">
        <f t="shared" si="16"/>
        <v>0</v>
      </c>
      <c r="AJ84" s="51"/>
      <c r="AK84" s="51"/>
      <c r="AL84" s="51"/>
      <c r="AM84" s="51"/>
      <c r="AN84" s="51"/>
      <c r="AO84" s="68">
        <f t="shared" si="17"/>
        <v>0</v>
      </c>
      <c r="AP84" s="51"/>
      <c r="AQ84" s="51"/>
      <c r="AR84" s="51"/>
      <c r="AS84" s="51"/>
      <c r="AT84" s="51"/>
      <c r="AU84" s="68">
        <f t="shared" si="18"/>
        <v>0</v>
      </c>
      <c r="AV84" s="51"/>
      <c r="AW84" s="51"/>
      <c r="AX84" s="51"/>
      <c r="AY84" s="51"/>
      <c r="AZ84" s="51"/>
      <c r="BA84" s="68">
        <f t="shared" si="19"/>
        <v>0</v>
      </c>
      <c r="BB84" s="51"/>
      <c r="BC84" s="51"/>
      <c r="BD84" s="51"/>
      <c r="BE84" s="51"/>
      <c r="BF84" s="51"/>
      <c r="BG84" s="68">
        <f t="shared" si="20"/>
        <v>0</v>
      </c>
      <c r="BH84" s="51"/>
      <c r="BI84" s="51"/>
      <c r="BJ84" s="51"/>
      <c r="BK84" s="51"/>
      <c r="BL84" s="51"/>
      <c r="BM84" s="68">
        <f t="shared" si="21"/>
        <v>0</v>
      </c>
      <c r="BN84" s="51"/>
      <c r="BO84" s="51"/>
      <c r="BP84" s="51"/>
      <c r="BQ84" s="51"/>
      <c r="BR84" s="51"/>
      <c r="BS84" s="68">
        <f t="shared" si="22"/>
        <v>0</v>
      </c>
      <c r="BT84" s="51"/>
      <c r="BU84" s="51"/>
      <c r="BV84" s="51"/>
      <c r="BW84" s="51"/>
      <c r="BX84" s="51"/>
      <c r="BY84" s="68">
        <f t="shared" si="23"/>
        <v>0</v>
      </c>
      <c r="BZ84" s="51"/>
      <c r="CA84" s="51"/>
      <c r="CB84" s="51"/>
      <c r="CC84" s="51"/>
      <c r="CD84" s="51"/>
      <c r="CE84" s="68">
        <f t="shared" si="24"/>
        <v>0</v>
      </c>
      <c r="CF84" s="51"/>
      <c r="CG84" s="51"/>
      <c r="CH84" s="51"/>
      <c r="CI84" s="51"/>
      <c r="CJ84" s="51"/>
      <c r="CK84" s="68">
        <f t="shared" si="25"/>
        <v>0</v>
      </c>
      <c r="CL84" s="67">
        <f t="shared" si="146"/>
        <v>0</v>
      </c>
      <c r="CM84" s="67">
        <f t="shared" si="146"/>
        <v>0</v>
      </c>
      <c r="CN84" s="67">
        <f t="shared" si="146"/>
        <v>0</v>
      </c>
      <c r="CO84" s="67">
        <f t="shared" si="141"/>
        <v>0</v>
      </c>
      <c r="CP84" s="67">
        <f t="shared" si="141"/>
        <v>0</v>
      </c>
      <c r="CQ84" s="67">
        <f t="shared" si="141"/>
        <v>0</v>
      </c>
      <c r="CR84" s="37">
        <f t="shared" si="148"/>
        <v>0</v>
      </c>
      <c r="CS84" s="39">
        <f t="shared" si="89"/>
        <v>0</v>
      </c>
      <c r="CT84" s="53">
        <f t="shared" si="90"/>
        <v>0</v>
      </c>
      <c r="CU84" s="39">
        <f t="shared" si="91"/>
        <v>0</v>
      </c>
      <c r="CV84" s="39">
        <f t="shared" si="92"/>
        <v>0</v>
      </c>
      <c r="CW84" s="39">
        <f t="shared" si="93"/>
        <v>0</v>
      </c>
      <c r="CX84" s="39">
        <f t="shared" si="94"/>
        <v>0</v>
      </c>
      <c r="CY84" s="39">
        <f t="shared" si="95"/>
        <v>0</v>
      </c>
      <c r="CZ84" s="39">
        <f t="shared" si="96"/>
        <v>0</v>
      </c>
      <c r="DA84" s="39">
        <f t="shared" si="97"/>
        <v>0</v>
      </c>
      <c r="DB84" s="39">
        <f t="shared" si="98"/>
        <v>0</v>
      </c>
      <c r="DC84" s="39">
        <f t="shared" si="99"/>
        <v>0</v>
      </c>
      <c r="DD84" s="39">
        <f>+HLOOKUP('Reporte Evolución Mensual'!$F$2-2,$CR$2:$DC$251, Input!$DG84, FALSE)</f>
        <v>0</v>
      </c>
      <c r="DE84" s="39">
        <f>+HLOOKUP('Reporte Evolución Mensual'!$F$2-1,$CR$2:$DC$251, Input!$DG84, FALSE)</f>
        <v>0</v>
      </c>
      <c r="DF84" s="39">
        <f>+HLOOKUP('Reporte Evolución Mensual'!$F$2,$CR$2:$DC$371, Input!$DG84, FALSE)</f>
        <v>0</v>
      </c>
      <c r="DG84" s="40">
        <f t="shared" si="160"/>
        <v>84</v>
      </c>
      <c r="DH84" s="39"/>
      <c r="DI84" s="37">
        <f t="shared" si="149"/>
        <v>0</v>
      </c>
      <c r="DJ84" s="37">
        <f t="shared" si="150"/>
        <v>0</v>
      </c>
      <c r="DK84" s="37">
        <f t="shared" si="150"/>
        <v>0</v>
      </c>
      <c r="DL84" s="37">
        <f t="shared" si="150"/>
        <v>0</v>
      </c>
      <c r="DM84" s="37">
        <f t="shared" si="150"/>
        <v>0</v>
      </c>
      <c r="DN84" s="37">
        <f t="shared" si="150"/>
        <v>0</v>
      </c>
      <c r="DO84" s="37">
        <f t="shared" si="150"/>
        <v>0</v>
      </c>
      <c r="DP84" s="37">
        <f t="shared" si="150"/>
        <v>0</v>
      </c>
      <c r="DQ84" s="37">
        <f t="shared" si="150"/>
        <v>0</v>
      </c>
      <c r="DR84" s="37">
        <f t="shared" si="150"/>
        <v>0</v>
      </c>
      <c r="DS84" s="37">
        <f t="shared" si="150"/>
        <v>0</v>
      </c>
      <c r="DT84" s="37">
        <f t="shared" si="150"/>
        <v>0</v>
      </c>
      <c r="DU84" s="1"/>
      <c r="DV84" s="345" t="s">
        <v>163</v>
      </c>
    </row>
    <row r="85" spans="1:126" ht="15" customHeight="1" x14ac:dyDescent="0.3">
      <c r="A85" s="1" t="str">
        <f>$F$8</f>
        <v>ADIFSE</v>
      </c>
      <c r="B85" s="1" t="str">
        <f t="shared" si="138"/>
        <v>ADIFSE</v>
      </c>
      <c r="C85" s="1" t="str">
        <f t="shared" si="139"/>
        <v>MAY</v>
      </c>
      <c r="D85" s="41" t="s">
        <v>163</v>
      </c>
      <c r="E85" s="69" t="str">
        <f t="shared" si="147"/>
        <v>Transferencias - Otras Transferencias</v>
      </c>
      <c r="F85" s="73" t="s">
        <v>248</v>
      </c>
      <c r="G85" s="16" t="s">
        <v>230</v>
      </c>
      <c r="H85" s="7" t="s">
        <v>222</v>
      </c>
      <c r="I85" s="7" t="s">
        <v>249</v>
      </c>
      <c r="J85" s="7" t="s">
        <v>166</v>
      </c>
      <c r="K85" s="51"/>
      <c r="L85" s="51"/>
      <c r="M85" s="51"/>
      <c r="N85" s="51"/>
      <c r="O85" s="51"/>
      <c r="P85" s="51"/>
      <c r="Q85" s="67">
        <f t="shared" ref="Q85:Q104" si="165">SUM(L85:P85)</f>
        <v>0</v>
      </c>
      <c r="R85" s="51"/>
      <c r="S85" s="51"/>
      <c r="T85" s="51"/>
      <c r="U85" s="51"/>
      <c r="V85" s="51"/>
      <c r="W85" s="68">
        <f t="shared" ref="W85:W129" si="166">SUM(R85:V85)</f>
        <v>0</v>
      </c>
      <c r="X85" s="51"/>
      <c r="Y85" s="51"/>
      <c r="Z85" s="51"/>
      <c r="AA85" s="51"/>
      <c r="AB85" s="51"/>
      <c r="AC85" s="68">
        <f t="shared" ref="AC85:AC104" si="167">SUM(X85:AB85)</f>
        <v>0</v>
      </c>
      <c r="AD85" s="51"/>
      <c r="AE85" s="51"/>
      <c r="AF85" s="51"/>
      <c r="AG85" s="51"/>
      <c r="AH85" s="51"/>
      <c r="AI85" s="68">
        <f t="shared" ref="AI85:AI104" si="168">SUM(AD85:AH85)</f>
        <v>0</v>
      </c>
      <c r="AJ85" s="51"/>
      <c r="AK85" s="51"/>
      <c r="AL85" s="51"/>
      <c r="AM85" s="51"/>
      <c r="AN85" s="51"/>
      <c r="AO85" s="68">
        <f t="shared" ref="AO85" si="169">SUM(AJ85:AN85)</f>
        <v>0</v>
      </c>
      <c r="AP85" s="51"/>
      <c r="AQ85" s="51"/>
      <c r="AR85" s="51"/>
      <c r="AS85" s="51"/>
      <c r="AT85" s="51"/>
      <c r="AU85" s="68">
        <f t="shared" ref="AU85" si="170">SUM(AP85:AT85)</f>
        <v>0</v>
      </c>
      <c r="AV85" s="51"/>
      <c r="AW85" s="51"/>
      <c r="AX85" s="51"/>
      <c r="AY85" s="51"/>
      <c r="AZ85" s="51"/>
      <c r="BA85" s="68">
        <f t="shared" ref="BA85" si="171">SUM(AV85:AZ85)</f>
        <v>0</v>
      </c>
      <c r="BB85" s="51"/>
      <c r="BC85" s="51"/>
      <c r="BD85" s="51"/>
      <c r="BE85" s="51"/>
      <c r="BF85" s="51"/>
      <c r="BG85" s="68">
        <f t="shared" ref="BG85" si="172">SUM(BB85:BF85)</f>
        <v>0</v>
      </c>
      <c r="BH85" s="51"/>
      <c r="BI85" s="51"/>
      <c r="BJ85" s="51"/>
      <c r="BK85" s="51"/>
      <c r="BL85" s="51"/>
      <c r="BM85" s="68">
        <f t="shared" ref="BM85" si="173">SUM(BH85:BL85)</f>
        <v>0</v>
      </c>
      <c r="BN85" s="51"/>
      <c r="BO85" s="51"/>
      <c r="BP85" s="51"/>
      <c r="BQ85" s="51"/>
      <c r="BR85" s="51"/>
      <c r="BS85" s="68">
        <f t="shared" ref="BS85" si="174">SUM(BN85:BR85)</f>
        <v>0</v>
      </c>
      <c r="BT85" s="51"/>
      <c r="BU85" s="51"/>
      <c r="BV85" s="51"/>
      <c r="BW85" s="51"/>
      <c r="BX85" s="51"/>
      <c r="BY85" s="68">
        <f t="shared" ref="BY85" si="175">SUM(BT85:BX85)</f>
        <v>0</v>
      </c>
      <c r="BZ85" s="51"/>
      <c r="CA85" s="51"/>
      <c r="CB85" s="51"/>
      <c r="CC85" s="51"/>
      <c r="CD85" s="51"/>
      <c r="CE85" s="68">
        <f t="shared" ref="CE85" si="176">SUM(BZ85:CD85)</f>
        <v>0</v>
      </c>
      <c r="CF85" s="51"/>
      <c r="CG85" s="51"/>
      <c r="CH85" s="51"/>
      <c r="CI85" s="51"/>
      <c r="CJ85" s="51"/>
      <c r="CK85" s="68">
        <f t="shared" ref="CK85" si="177">SUM(CF85:CJ85)</f>
        <v>0</v>
      </c>
      <c r="CL85" s="67">
        <f t="shared" si="146"/>
        <v>0</v>
      </c>
      <c r="CM85" s="67">
        <f t="shared" si="146"/>
        <v>0</v>
      </c>
      <c r="CN85" s="67">
        <f t="shared" si="146"/>
        <v>0</v>
      </c>
      <c r="CO85" s="67">
        <f t="shared" si="141"/>
        <v>0</v>
      </c>
      <c r="CP85" s="67">
        <f t="shared" si="141"/>
        <v>0</v>
      </c>
      <c r="CQ85" s="67">
        <f t="shared" si="141"/>
        <v>0</v>
      </c>
      <c r="CR85" s="37">
        <f t="shared" si="148"/>
        <v>0</v>
      </c>
      <c r="CS85" s="39">
        <f t="shared" si="89"/>
        <v>0</v>
      </c>
      <c r="CT85" s="53">
        <f t="shared" si="90"/>
        <v>0</v>
      </c>
      <c r="CU85" s="39">
        <f t="shared" si="91"/>
        <v>0</v>
      </c>
      <c r="CV85" s="39">
        <f t="shared" si="92"/>
        <v>0</v>
      </c>
      <c r="CW85" s="39">
        <f t="shared" si="93"/>
        <v>0</v>
      </c>
      <c r="CX85" s="39">
        <f t="shared" si="94"/>
        <v>0</v>
      </c>
      <c r="CY85" s="39">
        <f t="shared" si="95"/>
        <v>0</v>
      </c>
      <c r="CZ85" s="39">
        <f t="shared" si="96"/>
        <v>0</v>
      </c>
      <c r="DA85" s="39">
        <f t="shared" si="97"/>
        <v>0</v>
      </c>
      <c r="DB85" s="39">
        <f t="shared" si="98"/>
        <v>0</v>
      </c>
      <c r="DC85" s="39">
        <f t="shared" si="99"/>
        <v>0</v>
      </c>
      <c r="DD85" s="39">
        <f>+HLOOKUP('Reporte Evolución Mensual'!$F$2-2,$CR$2:$DC$251, Input!$DG85, FALSE)</f>
        <v>0</v>
      </c>
      <c r="DE85" s="39">
        <f>+HLOOKUP('Reporte Evolución Mensual'!$F$2-1,$CR$2:$DC$251, Input!$DG85, FALSE)</f>
        <v>0</v>
      </c>
      <c r="DF85" s="39">
        <f>+HLOOKUP('Reporte Evolución Mensual'!$F$2,$CR$2:$DC$371, Input!$DG85, FALSE)</f>
        <v>0</v>
      </c>
      <c r="DG85" s="40">
        <f t="shared" si="160"/>
        <v>85</v>
      </c>
      <c r="DH85" s="39"/>
      <c r="DI85" s="37">
        <f t="shared" si="149"/>
        <v>0</v>
      </c>
      <c r="DJ85" s="37">
        <f t="shared" si="150"/>
        <v>0</v>
      </c>
      <c r="DK85" s="37">
        <f t="shared" si="150"/>
        <v>0</v>
      </c>
      <c r="DL85" s="37">
        <f t="shared" si="150"/>
        <v>0</v>
      </c>
      <c r="DM85" s="37">
        <f t="shared" si="150"/>
        <v>0</v>
      </c>
      <c r="DN85" s="37">
        <f t="shared" si="150"/>
        <v>0</v>
      </c>
      <c r="DO85" s="37">
        <f t="shared" si="150"/>
        <v>0</v>
      </c>
      <c r="DP85" s="37">
        <f t="shared" si="150"/>
        <v>0</v>
      </c>
      <c r="DQ85" s="37">
        <f t="shared" si="150"/>
        <v>0</v>
      </c>
      <c r="DR85" s="37">
        <f t="shared" si="150"/>
        <v>0</v>
      </c>
      <c r="DS85" s="37">
        <f t="shared" si="150"/>
        <v>0</v>
      </c>
      <c r="DT85" s="37">
        <f t="shared" si="150"/>
        <v>0</v>
      </c>
      <c r="DU85" s="1"/>
      <c r="DV85" s="345" t="s">
        <v>163</v>
      </c>
    </row>
    <row r="86" spans="1:126" ht="15" customHeight="1" x14ac:dyDescent="0.3">
      <c r="A86" s="1" t="str">
        <f t="shared" si="137"/>
        <v>ADIFSE</v>
      </c>
      <c r="B86" s="1" t="str">
        <f t="shared" si="138"/>
        <v>ADIFSE</v>
      </c>
      <c r="C86" s="1" t="str">
        <f t="shared" si="139"/>
        <v>MAY</v>
      </c>
      <c r="D86" s="75" t="s">
        <v>108</v>
      </c>
      <c r="E86" s="65" t="str">
        <f t="shared" si="147"/>
        <v>Transferencias - Total</v>
      </c>
      <c r="F86" s="70">
        <v>5</v>
      </c>
      <c r="G86" s="16" t="s">
        <v>230</v>
      </c>
      <c r="H86" s="7" t="s">
        <v>222</v>
      </c>
      <c r="I86" s="7" t="s">
        <v>173</v>
      </c>
      <c r="J86" s="7" t="s">
        <v>166</v>
      </c>
      <c r="K86" s="46">
        <f>+K75+K78+K83+K84+K85</f>
        <v>0</v>
      </c>
      <c r="L86" s="46">
        <f>+L75+L78+L83+L84+L85</f>
        <v>0</v>
      </c>
      <c r="M86" s="46">
        <f t="shared" ref="M86:Q86" si="178">+M75+M78+M83+M84+M85</f>
        <v>0</v>
      </c>
      <c r="N86" s="46">
        <f t="shared" si="178"/>
        <v>0</v>
      </c>
      <c r="O86" s="46">
        <f t="shared" si="178"/>
        <v>0</v>
      </c>
      <c r="P86" s="46">
        <f t="shared" si="178"/>
        <v>0</v>
      </c>
      <c r="Q86" s="56">
        <f t="shared" si="178"/>
        <v>0</v>
      </c>
      <c r="R86" s="46">
        <f t="shared" ref="R86:AW86" si="179">+R75+R78+R83+R84+R85</f>
        <v>0</v>
      </c>
      <c r="S86" s="46">
        <f t="shared" si="179"/>
        <v>0</v>
      </c>
      <c r="T86" s="46">
        <f t="shared" si="179"/>
        <v>0</v>
      </c>
      <c r="U86" s="46">
        <f t="shared" si="179"/>
        <v>0</v>
      </c>
      <c r="V86" s="46">
        <f t="shared" si="179"/>
        <v>0</v>
      </c>
      <c r="W86" s="86">
        <f t="shared" si="179"/>
        <v>0</v>
      </c>
      <c r="X86" s="46">
        <f t="shared" si="179"/>
        <v>0</v>
      </c>
      <c r="Y86" s="46">
        <f t="shared" si="179"/>
        <v>0</v>
      </c>
      <c r="Z86" s="46">
        <f t="shared" si="179"/>
        <v>0</v>
      </c>
      <c r="AA86" s="46">
        <f t="shared" si="179"/>
        <v>0</v>
      </c>
      <c r="AB86" s="46">
        <f t="shared" si="179"/>
        <v>0</v>
      </c>
      <c r="AC86" s="86">
        <f t="shared" si="179"/>
        <v>0</v>
      </c>
      <c r="AD86" s="46">
        <f t="shared" si="179"/>
        <v>0</v>
      </c>
      <c r="AE86" s="46">
        <f t="shared" si="179"/>
        <v>0</v>
      </c>
      <c r="AF86" s="46">
        <f t="shared" si="179"/>
        <v>0</v>
      </c>
      <c r="AG86" s="46">
        <f t="shared" si="179"/>
        <v>0</v>
      </c>
      <c r="AH86" s="46">
        <f t="shared" si="179"/>
        <v>0</v>
      </c>
      <c r="AI86" s="86">
        <f t="shared" si="179"/>
        <v>0</v>
      </c>
      <c r="AJ86" s="46">
        <f t="shared" si="179"/>
        <v>0</v>
      </c>
      <c r="AK86" s="46">
        <f t="shared" si="179"/>
        <v>0</v>
      </c>
      <c r="AL86" s="46">
        <f t="shared" si="179"/>
        <v>0</v>
      </c>
      <c r="AM86" s="46">
        <f t="shared" si="179"/>
        <v>0</v>
      </c>
      <c r="AN86" s="46">
        <f t="shared" si="179"/>
        <v>0</v>
      </c>
      <c r="AO86" s="86">
        <f t="shared" si="179"/>
        <v>0</v>
      </c>
      <c r="AP86" s="46">
        <f t="shared" si="179"/>
        <v>0</v>
      </c>
      <c r="AQ86" s="46">
        <f t="shared" si="179"/>
        <v>0</v>
      </c>
      <c r="AR86" s="46">
        <f t="shared" si="179"/>
        <v>0</v>
      </c>
      <c r="AS86" s="46">
        <f t="shared" si="179"/>
        <v>0</v>
      </c>
      <c r="AT86" s="46">
        <f t="shared" si="179"/>
        <v>0</v>
      </c>
      <c r="AU86" s="86">
        <f t="shared" si="179"/>
        <v>0</v>
      </c>
      <c r="AV86" s="46">
        <f t="shared" si="179"/>
        <v>0</v>
      </c>
      <c r="AW86" s="46">
        <f t="shared" si="179"/>
        <v>0</v>
      </c>
      <c r="AX86" s="46">
        <f t="shared" ref="AX86:BX86" si="180">+AX75+AX78+AX83+AX84+AX85</f>
        <v>0</v>
      </c>
      <c r="AY86" s="46">
        <f t="shared" si="180"/>
        <v>0</v>
      </c>
      <c r="AZ86" s="46">
        <f t="shared" si="180"/>
        <v>0</v>
      </c>
      <c r="BA86" s="86">
        <f t="shared" si="180"/>
        <v>0</v>
      </c>
      <c r="BB86" s="46">
        <f t="shared" si="180"/>
        <v>0</v>
      </c>
      <c r="BC86" s="46">
        <f t="shared" si="180"/>
        <v>0</v>
      </c>
      <c r="BD86" s="46">
        <f t="shared" si="180"/>
        <v>0</v>
      </c>
      <c r="BE86" s="46">
        <f t="shared" si="180"/>
        <v>0</v>
      </c>
      <c r="BF86" s="46">
        <f t="shared" si="180"/>
        <v>0</v>
      </c>
      <c r="BG86" s="86">
        <f t="shared" si="180"/>
        <v>0</v>
      </c>
      <c r="BH86" s="46">
        <f t="shared" si="180"/>
        <v>0</v>
      </c>
      <c r="BI86" s="46">
        <f t="shared" si="180"/>
        <v>0</v>
      </c>
      <c r="BJ86" s="46">
        <f t="shared" si="180"/>
        <v>0</v>
      </c>
      <c r="BK86" s="46">
        <f t="shared" si="180"/>
        <v>0</v>
      </c>
      <c r="BL86" s="46">
        <f t="shared" si="180"/>
        <v>0</v>
      </c>
      <c r="BM86" s="86">
        <f t="shared" si="180"/>
        <v>0</v>
      </c>
      <c r="BN86" s="46">
        <f t="shared" si="180"/>
        <v>0</v>
      </c>
      <c r="BO86" s="46">
        <f t="shared" si="180"/>
        <v>0</v>
      </c>
      <c r="BP86" s="46">
        <f t="shared" si="180"/>
        <v>0</v>
      </c>
      <c r="BQ86" s="46">
        <f t="shared" si="180"/>
        <v>0</v>
      </c>
      <c r="BR86" s="46">
        <f t="shared" si="180"/>
        <v>0</v>
      </c>
      <c r="BS86" s="86">
        <f t="shared" si="180"/>
        <v>0</v>
      </c>
      <c r="BT86" s="46">
        <f t="shared" si="180"/>
        <v>0</v>
      </c>
      <c r="BU86" s="46">
        <f t="shared" si="180"/>
        <v>0</v>
      </c>
      <c r="BV86" s="46">
        <f t="shared" si="180"/>
        <v>0</v>
      </c>
      <c r="BW86" s="46">
        <f t="shared" si="180"/>
        <v>0</v>
      </c>
      <c r="BX86" s="46">
        <f t="shared" si="180"/>
        <v>0</v>
      </c>
      <c r="BY86" s="86">
        <f t="shared" ref="BY86:CK86" si="181">+BY75+BY78+BY83+BY84+BY85</f>
        <v>0</v>
      </c>
      <c r="BZ86" s="46">
        <f t="shared" si="181"/>
        <v>0</v>
      </c>
      <c r="CA86" s="46">
        <f t="shared" si="181"/>
        <v>0</v>
      </c>
      <c r="CB86" s="46">
        <f t="shared" si="181"/>
        <v>0</v>
      </c>
      <c r="CC86" s="46">
        <f t="shared" si="181"/>
        <v>0</v>
      </c>
      <c r="CD86" s="46">
        <f t="shared" si="181"/>
        <v>0</v>
      </c>
      <c r="CE86" s="86">
        <f t="shared" si="181"/>
        <v>0</v>
      </c>
      <c r="CF86" s="46">
        <f t="shared" si="181"/>
        <v>0</v>
      </c>
      <c r="CG86" s="46">
        <f t="shared" si="181"/>
        <v>0</v>
      </c>
      <c r="CH86" s="46">
        <f t="shared" si="181"/>
        <v>0</v>
      </c>
      <c r="CI86" s="46">
        <f t="shared" si="181"/>
        <v>0</v>
      </c>
      <c r="CJ86" s="46">
        <f t="shared" si="181"/>
        <v>0</v>
      </c>
      <c r="CK86" s="86">
        <f t="shared" si="181"/>
        <v>0</v>
      </c>
      <c r="CL86" s="56">
        <f t="shared" si="146"/>
        <v>0</v>
      </c>
      <c r="CM86" s="56">
        <f t="shared" si="146"/>
        <v>0</v>
      </c>
      <c r="CN86" s="56">
        <f t="shared" si="146"/>
        <v>0</v>
      </c>
      <c r="CO86" s="56">
        <f t="shared" si="141"/>
        <v>0</v>
      </c>
      <c r="CP86" s="56">
        <f t="shared" si="141"/>
        <v>0</v>
      </c>
      <c r="CQ86" s="56">
        <f t="shared" si="141"/>
        <v>0</v>
      </c>
      <c r="CR86" s="37">
        <f t="shared" si="148"/>
        <v>0</v>
      </c>
      <c r="CS86" s="39">
        <f t="shared" si="89"/>
        <v>0</v>
      </c>
      <c r="CT86" s="53">
        <f t="shared" si="90"/>
        <v>0</v>
      </c>
      <c r="CU86" s="39">
        <f t="shared" si="91"/>
        <v>0</v>
      </c>
      <c r="CV86" s="39">
        <f t="shared" si="92"/>
        <v>0</v>
      </c>
      <c r="CW86" s="39">
        <f t="shared" si="93"/>
        <v>0</v>
      </c>
      <c r="CX86" s="39">
        <f t="shared" si="94"/>
        <v>0</v>
      </c>
      <c r="CY86" s="39">
        <f t="shared" si="95"/>
        <v>0</v>
      </c>
      <c r="CZ86" s="39">
        <f t="shared" si="96"/>
        <v>0</v>
      </c>
      <c r="DA86" s="39">
        <f t="shared" si="97"/>
        <v>0</v>
      </c>
      <c r="DB86" s="39">
        <f t="shared" si="98"/>
        <v>0</v>
      </c>
      <c r="DC86" s="39">
        <f t="shared" si="99"/>
        <v>0</v>
      </c>
      <c r="DD86" s="39">
        <f>+HLOOKUP('Reporte Evolución Mensual'!$F$2-2,$CR$2:$DC$251, Input!$DG86, FALSE)</f>
        <v>0</v>
      </c>
      <c r="DE86" s="39">
        <f>+HLOOKUP('Reporte Evolución Mensual'!$F$2-1,$CR$2:$DC$251, Input!$DG86, FALSE)</f>
        <v>0</v>
      </c>
      <c r="DF86" s="39">
        <f>+HLOOKUP('Reporte Evolución Mensual'!$F$2,$CR$2:$DC$371, Input!$DG86, FALSE)</f>
        <v>0</v>
      </c>
      <c r="DG86" s="40">
        <f t="shared" si="160"/>
        <v>86</v>
      </c>
      <c r="DH86" s="37"/>
      <c r="DI86" s="37">
        <f t="shared" si="149"/>
        <v>0</v>
      </c>
      <c r="DJ86" s="37">
        <f t="shared" si="150"/>
        <v>0</v>
      </c>
      <c r="DK86" s="37">
        <f t="shared" si="150"/>
        <v>0</v>
      </c>
      <c r="DL86" s="37">
        <f t="shared" si="150"/>
        <v>0</v>
      </c>
      <c r="DM86" s="37">
        <f t="shared" si="150"/>
        <v>0</v>
      </c>
      <c r="DN86" s="37">
        <f t="shared" si="150"/>
        <v>0</v>
      </c>
      <c r="DO86" s="37">
        <f t="shared" si="150"/>
        <v>0</v>
      </c>
      <c r="DP86" s="37">
        <f t="shared" si="150"/>
        <v>0</v>
      </c>
      <c r="DQ86" s="37">
        <f t="shared" si="150"/>
        <v>0</v>
      </c>
      <c r="DR86" s="37">
        <f t="shared" si="150"/>
        <v>0</v>
      </c>
      <c r="DS86" s="37">
        <f t="shared" si="150"/>
        <v>0</v>
      </c>
      <c r="DT86" s="37">
        <f t="shared" si="150"/>
        <v>0</v>
      </c>
      <c r="DU86" s="1"/>
      <c r="DV86" s="345"/>
    </row>
    <row r="87" spans="1:126" ht="15" customHeight="1" x14ac:dyDescent="0.3">
      <c r="A87" s="1" t="str">
        <f t="shared" si="137"/>
        <v>ADIFSE</v>
      </c>
      <c r="B87" s="1" t="str">
        <f t="shared" si="138"/>
        <v>ADIFSE</v>
      </c>
      <c r="C87" s="1" t="str">
        <f t="shared" si="139"/>
        <v>MAY</v>
      </c>
      <c r="D87" s="41" t="s">
        <v>108</v>
      </c>
      <c r="E87" s="65" t="s">
        <v>333</v>
      </c>
      <c r="F87" s="70"/>
      <c r="G87" s="16"/>
      <c r="H87" s="7"/>
      <c r="I87" s="7"/>
      <c r="J87" s="7"/>
      <c r="K87" s="48"/>
      <c r="L87" s="46"/>
      <c r="M87" s="46"/>
      <c r="N87" s="46"/>
      <c r="O87" s="46"/>
      <c r="P87" s="46"/>
      <c r="Q87" s="56"/>
      <c r="R87" s="46"/>
      <c r="S87" s="46"/>
      <c r="T87" s="46"/>
      <c r="U87" s="46"/>
      <c r="V87" s="46"/>
      <c r="W87" s="57"/>
      <c r="X87" s="46"/>
      <c r="Y87" s="46"/>
      <c r="Z87" s="46"/>
      <c r="AA87" s="46"/>
      <c r="AB87" s="46"/>
      <c r="AC87" s="57"/>
      <c r="AD87" s="46"/>
      <c r="AE87" s="46"/>
      <c r="AF87" s="46"/>
      <c r="AG87" s="46"/>
      <c r="AH87" s="46"/>
      <c r="AI87" s="57"/>
      <c r="AJ87" s="46"/>
      <c r="AK87" s="46"/>
      <c r="AL87" s="46"/>
      <c r="AM87" s="46"/>
      <c r="AN87" s="46"/>
      <c r="AO87" s="57"/>
      <c r="AP87" s="46"/>
      <c r="AQ87" s="46"/>
      <c r="AR87" s="46"/>
      <c r="AS87" s="46"/>
      <c r="AT87" s="46"/>
      <c r="AU87" s="57"/>
      <c r="AV87" s="46"/>
      <c r="AW87" s="46"/>
      <c r="AX87" s="46"/>
      <c r="AY87" s="46"/>
      <c r="AZ87" s="46"/>
      <c r="BA87" s="57"/>
      <c r="BB87" s="46"/>
      <c r="BC87" s="46"/>
      <c r="BD87" s="46"/>
      <c r="BE87" s="46"/>
      <c r="BF87" s="46"/>
      <c r="BG87" s="57"/>
      <c r="BH87" s="46"/>
      <c r="BI87" s="46"/>
      <c r="BJ87" s="46"/>
      <c r="BK87" s="46"/>
      <c r="BL87" s="46"/>
      <c r="BM87" s="57"/>
      <c r="BN87" s="46"/>
      <c r="BO87" s="46"/>
      <c r="BP87" s="46"/>
      <c r="BQ87" s="46"/>
      <c r="BR87" s="46"/>
      <c r="BS87" s="57"/>
      <c r="BT87" s="46"/>
      <c r="BU87" s="46"/>
      <c r="BV87" s="46"/>
      <c r="BW87" s="46"/>
      <c r="BX87" s="46"/>
      <c r="BY87" s="57"/>
      <c r="BZ87" s="46"/>
      <c r="CA87" s="46"/>
      <c r="CB87" s="46"/>
      <c r="CC87" s="46"/>
      <c r="CD87" s="46"/>
      <c r="CE87" s="57"/>
      <c r="CF87" s="46"/>
      <c r="CG87" s="46"/>
      <c r="CH87" s="46"/>
      <c r="CI87" s="46"/>
      <c r="CJ87" s="46"/>
      <c r="CK87" s="57"/>
      <c r="CL87" s="56"/>
      <c r="CM87" s="56"/>
      <c r="CN87" s="56"/>
      <c r="CO87" s="56"/>
      <c r="CP87" s="56"/>
      <c r="CQ87" s="56"/>
      <c r="CR87" s="46"/>
      <c r="CS87" s="39"/>
      <c r="CT87" s="53"/>
      <c r="CU87" s="39"/>
      <c r="CV87" s="39"/>
      <c r="CW87" s="39"/>
      <c r="CX87" s="39"/>
      <c r="CY87" s="39"/>
      <c r="CZ87" s="39"/>
      <c r="DA87" s="39"/>
      <c r="DB87" s="39"/>
      <c r="DC87" s="39"/>
      <c r="DD87" s="39">
        <f>+HLOOKUP('Reporte Evolución Mensual'!$F$2-2,$CR$2:$DC$251, Input!$DG87, FALSE)</f>
        <v>0</v>
      </c>
      <c r="DE87" s="39">
        <f>+HLOOKUP('Reporte Evolución Mensual'!$F$2-1,$CR$2:$DC$251, Input!$DG87, FALSE)</f>
        <v>0</v>
      </c>
      <c r="DF87" s="39">
        <f>+HLOOKUP('Reporte Evolución Mensual'!$F$2,$CR$2:$DC$371, Input!$DG87, FALSE)</f>
        <v>0</v>
      </c>
      <c r="DG87" s="40">
        <f t="shared" si="160"/>
        <v>87</v>
      </c>
      <c r="DH87" s="39"/>
      <c r="DI87" s="39"/>
      <c r="DJ87" s="39"/>
      <c r="DK87" s="39"/>
      <c r="DL87" s="39"/>
      <c r="DM87" s="39"/>
      <c r="DN87" s="39"/>
      <c r="DO87" s="58"/>
      <c r="DP87" s="58"/>
      <c r="DQ87" s="58"/>
      <c r="DR87" s="58"/>
      <c r="DS87" s="41"/>
      <c r="DT87" s="41"/>
      <c r="DU87" s="1"/>
      <c r="DV87" s="345"/>
    </row>
    <row r="88" spans="1:126" ht="15" customHeight="1" x14ac:dyDescent="0.3">
      <c r="A88" s="1" t="str">
        <f t="shared" si="137"/>
        <v>ADIFSE</v>
      </c>
      <c r="B88" s="1" t="str">
        <f t="shared" si="138"/>
        <v>ADIFSE</v>
      </c>
      <c r="C88" s="1" t="str">
        <f t="shared" si="139"/>
        <v>MAY</v>
      </c>
      <c r="D88" s="41" t="s">
        <v>108</v>
      </c>
      <c r="E88" s="64" t="s">
        <v>250</v>
      </c>
      <c r="F88" s="70"/>
      <c r="G88" s="16"/>
      <c r="H88" s="7"/>
      <c r="I88" s="7"/>
      <c r="J88" s="7"/>
      <c r="K88" s="48"/>
      <c r="L88" s="46"/>
      <c r="M88" s="46"/>
      <c r="N88" s="46"/>
      <c r="O88" s="46"/>
      <c r="P88" s="46"/>
      <c r="Q88" s="56"/>
      <c r="R88" s="46"/>
      <c r="S88" s="46"/>
      <c r="T88" s="46"/>
      <c r="U88" s="46"/>
      <c r="V88" s="46"/>
      <c r="W88" s="57"/>
      <c r="X88" s="46"/>
      <c r="Y88" s="46"/>
      <c r="Z88" s="46"/>
      <c r="AA88" s="46"/>
      <c r="AB88" s="46"/>
      <c r="AC88" s="57"/>
      <c r="AD88" s="46"/>
      <c r="AE88" s="46"/>
      <c r="AF88" s="46"/>
      <c r="AG88" s="46"/>
      <c r="AH88" s="46"/>
      <c r="AI88" s="57"/>
      <c r="AJ88" s="46"/>
      <c r="AK88" s="46"/>
      <c r="AL88" s="46"/>
      <c r="AM88" s="46"/>
      <c r="AN88" s="46"/>
      <c r="AO88" s="57"/>
      <c r="AP88" s="46"/>
      <c r="AQ88" s="46"/>
      <c r="AR88" s="46"/>
      <c r="AS88" s="46"/>
      <c r="AT88" s="46"/>
      <c r="AU88" s="57"/>
      <c r="AV88" s="46"/>
      <c r="AW88" s="46"/>
      <c r="AX88" s="46"/>
      <c r="AY88" s="46"/>
      <c r="AZ88" s="46"/>
      <c r="BA88" s="57"/>
      <c r="BB88" s="46"/>
      <c r="BC88" s="46"/>
      <c r="BD88" s="46"/>
      <c r="BE88" s="46"/>
      <c r="BF88" s="46"/>
      <c r="BG88" s="57"/>
      <c r="BH88" s="46"/>
      <c r="BI88" s="46"/>
      <c r="BJ88" s="46"/>
      <c r="BK88" s="46"/>
      <c r="BL88" s="46"/>
      <c r="BM88" s="57"/>
      <c r="BN88" s="46"/>
      <c r="BO88" s="46"/>
      <c r="BP88" s="46"/>
      <c r="BQ88" s="46"/>
      <c r="BR88" s="46"/>
      <c r="BS88" s="57"/>
      <c r="BT88" s="46"/>
      <c r="BU88" s="46"/>
      <c r="BV88" s="46"/>
      <c r="BW88" s="46"/>
      <c r="BX88" s="46"/>
      <c r="BY88" s="57"/>
      <c r="BZ88" s="46"/>
      <c r="CA88" s="46"/>
      <c r="CB88" s="46"/>
      <c r="CC88" s="46"/>
      <c r="CD88" s="46"/>
      <c r="CE88" s="57"/>
      <c r="CF88" s="46"/>
      <c r="CG88" s="46"/>
      <c r="CH88" s="46"/>
      <c r="CI88" s="46"/>
      <c r="CJ88" s="46"/>
      <c r="CK88" s="57"/>
      <c r="CL88" s="56"/>
      <c r="CM88" s="56"/>
      <c r="CN88" s="56"/>
      <c r="CO88" s="56"/>
      <c r="CP88" s="56"/>
      <c r="CQ88" s="56"/>
      <c r="CR88" s="37"/>
      <c r="CS88" s="39"/>
      <c r="CT88" s="53"/>
      <c r="CU88" s="39"/>
      <c r="CV88" s="39"/>
      <c r="CW88" s="39"/>
      <c r="CX88" s="39"/>
      <c r="CY88" s="39"/>
      <c r="CZ88" s="39"/>
      <c r="DA88" s="39"/>
      <c r="DB88" s="39"/>
      <c r="DC88" s="39"/>
      <c r="DD88" s="39">
        <f>+HLOOKUP('Reporte Evolución Mensual'!$F$2-2,$CR$2:$DC$251, Input!$DG88, FALSE)</f>
        <v>0</v>
      </c>
      <c r="DE88" s="39">
        <f>+HLOOKUP('Reporte Evolución Mensual'!$F$2-1,$CR$2:$DC$251, Input!$DG88, FALSE)</f>
        <v>0</v>
      </c>
      <c r="DF88" s="39">
        <f>+HLOOKUP('Reporte Evolución Mensual'!$F$2,$CR$2:$DC$371, Input!$DG88, FALSE)</f>
        <v>0</v>
      </c>
      <c r="DG88" s="40">
        <f t="shared" si="160"/>
        <v>88</v>
      </c>
      <c r="DH88" s="39"/>
      <c r="DI88" s="39"/>
      <c r="DJ88" s="39"/>
      <c r="DK88" s="39"/>
      <c r="DL88" s="39"/>
      <c r="DM88" s="39"/>
      <c r="DN88" s="39"/>
      <c r="DO88" s="58"/>
      <c r="DP88" s="58"/>
      <c r="DQ88" s="58"/>
      <c r="DR88" s="58"/>
      <c r="DS88" s="41"/>
      <c r="DT88" s="41"/>
      <c r="DU88" s="1"/>
      <c r="DV88" s="345"/>
    </row>
    <row r="89" spans="1:126" ht="15" customHeight="1" x14ac:dyDescent="0.3">
      <c r="A89" s="1" t="str">
        <f t="shared" si="137"/>
        <v>ADIFSE</v>
      </c>
      <c r="B89" s="1" t="str">
        <f t="shared" si="138"/>
        <v>ADIFSE</v>
      </c>
      <c r="C89" s="1" t="str">
        <f t="shared" si="139"/>
        <v>MAY</v>
      </c>
      <c r="D89" s="16" t="s">
        <v>163</v>
      </c>
      <c r="E89" s="69" t="str">
        <f t="shared" ref="E89:E91" si="182">CONCATENATE(H89," - ",I89)</f>
        <v>Aportes de Capital a Empresa Públicas - EANA</v>
      </c>
      <c r="F89" s="73" t="s">
        <v>251</v>
      </c>
      <c r="G89" s="16" t="s">
        <v>230</v>
      </c>
      <c r="H89" s="7" t="s">
        <v>252</v>
      </c>
      <c r="I89" s="7" t="s">
        <v>253</v>
      </c>
      <c r="J89" s="7" t="s">
        <v>166</v>
      </c>
      <c r="K89" s="51"/>
      <c r="L89" s="51"/>
      <c r="M89" s="51"/>
      <c r="N89" s="51"/>
      <c r="O89" s="51"/>
      <c r="P89" s="51"/>
      <c r="Q89" s="67">
        <f t="shared" ref="Q89:Q91" si="183">SUM(L89:P89)</f>
        <v>0</v>
      </c>
      <c r="R89" s="51"/>
      <c r="S89" s="51"/>
      <c r="T89" s="51"/>
      <c r="U89" s="51"/>
      <c r="V89" s="51"/>
      <c r="W89" s="67">
        <f t="shared" ref="W89:W91" si="184">SUM(R89:V89)</f>
        <v>0</v>
      </c>
      <c r="X89" s="51"/>
      <c r="Y89" s="51"/>
      <c r="Z89" s="51"/>
      <c r="AA89" s="51"/>
      <c r="AB89" s="51"/>
      <c r="AC89" s="68">
        <f t="shared" si="167"/>
        <v>0</v>
      </c>
      <c r="AD89" s="51"/>
      <c r="AE89" s="51"/>
      <c r="AF89" s="51"/>
      <c r="AG89" s="51"/>
      <c r="AH89" s="51"/>
      <c r="AI89" s="68">
        <f t="shared" ref="AI89:AI91" si="185">SUM(AD89:AH89)</f>
        <v>0</v>
      </c>
      <c r="AJ89" s="51"/>
      <c r="AK89" s="51"/>
      <c r="AL89" s="51"/>
      <c r="AM89" s="51"/>
      <c r="AN89" s="51"/>
      <c r="AO89" s="68"/>
      <c r="AP89" s="51"/>
      <c r="AQ89" s="51"/>
      <c r="AR89" s="51"/>
      <c r="AS89" s="51"/>
      <c r="AT89" s="51"/>
      <c r="AU89" s="68"/>
      <c r="AV89" s="51"/>
      <c r="AW89" s="51"/>
      <c r="AX89" s="51"/>
      <c r="AY89" s="51"/>
      <c r="AZ89" s="51"/>
      <c r="BA89" s="68"/>
      <c r="BB89" s="51"/>
      <c r="BC89" s="51"/>
      <c r="BD89" s="51"/>
      <c r="BE89" s="51"/>
      <c r="BF89" s="51"/>
      <c r="BG89" s="68"/>
      <c r="BH89" s="51"/>
      <c r="BI89" s="51"/>
      <c r="BJ89" s="51"/>
      <c r="BK89" s="51"/>
      <c r="BL89" s="51"/>
      <c r="BM89" s="68"/>
      <c r="BN89" s="51"/>
      <c r="BO89" s="51"/>
      <c r="BP89" s="51"/>
      <c r="BQ89" s="51"/>
      <c r="BR89" s="51"/>
      <c r="BS89" s="68"/>
      <c r="BT89" s="51"/>
      <c r="BU89" s="51"/>
      <c r="BV89" s="51"/>
      <c r="BW89" s="51"/>
      <c r="BX89" s="51"/>
      <c r="BY89" s="68"/>
      <c r="BZ89" s="51"/>
      <c r="CA89" s="51"/>
      <c r="CB89" s="51"/>
      <c r="CC89" s="51"/>
      <c r="CD89" s="51"/>
      <c r="CE89" s="68"/>
      <c r="CF89" s="51"/>
      <c r="CG89" s="51"/>
      <c r="CH89" s="51"/>
      <c r="CI89" s="51"/>
      <c r="CJ89" s="51"/>
      <c r="CK89" s="68"/>
      <c r="CL89" s="67">
        <f t="shared" si="146"/>
        <v>0</v>
      </c>
      <c r="CM89" s="67">
        <f t="shared" si="146"/>
        <v>0</v>
      </c>
      <c r="CN89" s="67">
        <f t="shared" si="146"/>
        <v>0</v>
      </c>
      <c r="CO89" s="67">
        <f t="shared" si="141"/>
        <v>0</v>
      </c>
      <c r="CP89" s="67">
        <f t="shared" si="141"/>
        <v>0</v>
      </c>
      <c r="CQ89" s="67">
        <f t="shared" si="141"/>
        <v>0</v>
      </c>
      <c r="CR89" s="37">
        <f t="shared" ref="CR89:CR92" si="186">+W89</f>
        <v>0</v>
      </c>
      <c r="CS89" s="39">
        <f t="shared" si="89"/>
        <v>0</v>
      </c>
      <c r="CT89" s="53">
        <f t="shared" si="90"/>
        <v>0</v>
      </c>
      <c r="CU89" s="39">
        <f t="shared" si="91"/>
        <v>0</v>
      </c>
      <c r="CV89" s="39">
        <f t="shared" si="92"/>
        <v>0</v>
      </c>
      <c r="CW89" s="39">
        <f t="shared" si="93"/>
        <v>0</v>
      </c>
      <c r="CX89" s="39">
        <f t="shared" si="94"/>
        <v>0</v>
      </c>
      <c r="CY89" s="39">
        <f t="shared" si="95"/>
        <v>0</v>
      </c>
      <c r="CZ89" s="39">
        <f t="shared" si="96"/>
        <v>0</v>
      </c>
      <c r="DA89" s="39">
        <f t="shared" si="97"/>
        <v>0</v>
      </c>
      <c r="DB89" s="39">
        <f t="shared" si="98"/>
        <v>0</v>
      </c>
      <c r="DC89" s="39">
        <f t="shared" si="99"/>
        <v>0</v>
      </c>
      <c r="DD89" s="39">
        <f>+HLOOKUP('Reporte Evolución Mensual'!$F$2-2,$CR$2:$DC$251, Input!$DG89, FALSE)</f>
        <v>0</v>
      </c>
      <c r="DE89" s="39">
        <f>+HLOOKUP('Reporte Evolución Mensual'!$F$2-1,$CR$2:$DC$251, Input!$DG89, FALSE)</f>
        <v>0</v>
      </c>
      <c r="DF89" s="39">
        <f>+HLOOKUP('Reporte Evolución Mensual'!$F$2,$CR$2:$DC$371, Input!$DG89, FALSE)</f>
        <v>0</v>
      </c>
      <c r="DG89" s="40">
        <f t="shared" si="160"/>
        <v>89</v>
      </c>
      <c r="DH89" s="38"/>
      <c r="DI89" s="37">
        <f t="shared" ref="DI89:DI92" si="187">+CR89</f>
        <v>0</v>
      </c>
      <c r="DJ89" s="37">
        <f t="shared" ref="DJ89:DT92" si="188">+DI89+CS89</f>
        <v>0</v>
      </c>
      <c r="DK89" s="37">
        <f t="shared" si="188"/>
        <v>0</v>
      </c>
      <c r="DL89" s="37">
        <f t="shared" si="188"/>
        <v>0</v>
      </c>
      <c r="DM89" s="37">
        <f t="shared" si="188"/>
        <v>0</v>
      </c>
      <c r="DN89" s="37">
        <f t="shared" si="188"/>
        <v>0</v>
      </c>
      <c r="DO89" s="37">
        <f t="shared" si="188"/>
        <v>0</v>
      </c>
      <c r="DP89" s="37">
        <f t="shared" si="188"/>
        <v>0</v>
      </c>
      <c r="DQ89" s="37">
        <f t="shared" si="188"/>
        <v>0</v>
      </c>
      <c r="DR89" s="37">
        <f t="shared" si="188"/>
        <v>0</v>
      </c>
      <c r="DS89" s="37">
        <f t="shared" si="188"/>
        <v>0</v>
      </c>
      <c r="DT89" s="37">
        <f t="shared" si="188"/>
        <v>0</v>
      </c>
      <c r="DU89" s="16"/>
      <c r="DV89" s="345" t="s">
        <v>163</v>
      </c>
    </row>
    <row r="90" spans="1:126" ht="15" customHeight="1" x14ac:dyDescent="0.3">
      <c r="A90" s="1" t="str">
        <f t="shared" si="137"/>
        <v>ADIFSE</v>
      </c>
      <c r="B90" s="1" t="str">
        <f t="shared" si="138"/>
        <v>ADIFSE</v>
      </c>
      <c r="C90" s="1" t="str">
        <f t="shared" si="139"/>
        <v>MAY</v>
      </c>
      <c r="D90" s="16" t="s">
        <v>163</v>
      </c>
      <c r="E90" s="69" t="str">
        <f t="shared" si="182"/>
        <v>Aportes de Capital a Empresa Públicas - otros</v>
      </c>
      <c r="F90" s="73" t="s">
        <v>254</v>
      </c>
      <c r="G90" s="16" t="s">
        <v>230</v>
      </c>
      <c r="H90" s="7" t="s">
        <v>252</v>
      </c>
      <c r="I90" s="7" t="s">
        <v>255</v>
      </c>
      <c r="J90" s="7" t="s">
        <v>166</v>
      </c>
      <c r="K90" s="51"/>
      <c r="L90" s="51"/>
      <c r="M90" s="51"/>
      <c r="N90" s="51"/>
      <c r="O90" s="51"/>
      <c r="P90" s="51"/>
      <c r="Q90" s="67">
        <f t="shared" si="183"/>
        <v>0</v>
      </c>
      <c r="R90" s="51"/>
      <c r="S90" s="51"/>
      <c r="T90" s="51"/>
      <c r="U90" s="51"/>
      <c r="V90" s="51"/>
      <c r="W90" s="67">
        <f t="shared" si="184"/>
        <v>0</v>
      </c>
      <c r="X90" s="51"/>
      <c r="Y90" s="51"/>
      <c r="Z90" s="51"/>
      <c r="AA90" s="51"/>
      <c r="AB90" s="51"/>
      <c r="AC90" s="68">
        <f t="shared" si="167"/>
        <v>0</v>
      </c>
      <c r="AD90" s="51"/>
      <c r="AE90" s="51"/>
      <c r="AF90" s="51"/>
      <c r="AG90" s="51"/>
      <c r="AH90" s="51"/>
      <c r="AI90" s="68">
        <f t="shared" si="185"/>
        <v>0</v>
      </c>
      <c r="AJ90" s="51"/>
      <c r="AK90" s="51"/>
      <c r="AL90" s="51"/>
      <c r="AM90" s="51"/>
      <c r="AN90" s="51"/>
      <c r="AO90" s="68"/>
      <c r="AP90" s="51"/>
      <c r="AQ90" s="51"/>
      <c r="AR90" s="51"/>
      <c r="AS90" s="51"/>
      <c r="AT90" s="51"/>
      <c r="AU90" s="68"/>
      <c r="AV90" s="51"/>
      <c r="AW90" s="51"/>
      <c r="AX90" s="51"/>
      <c r="AY90" s="51"/>
      <c r="AZ90" s="51"/>
      <c r="BA90" s="68"/>
      <c r="BB90" s="51"/>
      <c r="BC90" s="51"/>
      <c r="BD90" s="51"/>
      <c r="BE90" s="51"/>
      <c r="BF90" s="51"/>
      <c r="BG90" s="68"/>
      <c r="BH90" s="51"/>
      <c r="BI90" s="51"/>
      <c r="BJ90" s="51"/>
      <c r="BK90" s="51"/>
      <c r="BL90" s="51"/>
      <c r="BM90" s="68"/>
      <c r="BN90" s="51"/>
      <c r="BO90" s="51"/>
      <c r="BP90" s="51"/>
      <c r="BQ90" s="51"/>
      <c r="BR90" s="51"/>
      <c r="BS90" s="68"/>
      <c r="BT90" s="51"/>
      <c r="BU90" s="51"/>
      <c r="BV90" s="51"/>
      <c r="BW90" s="51"/>
      <c r="BX90" s="51"/>
      <c r="BY90" s="68"/>
      <c r="BZ90" s="51"/>
      <c r="CA90" s="51"/>
      <c r="CB90" s="51"/>
      <c r="CC90" s="51"/>
      <c r="CD90" s="51"/>
      <c r="CE90" s="68"/>
      <c r="CF90" s="51"/>
      <c r="CG90" s="51"/>
      <c r="CH90" s="51"/>
      <c r="CI90" s="51"/>
      <c r="CJ90" s="51"/>
      <c r="CK90" s="68"/>
      <c r="CL90" s="67">
        <f t="shared" si="146"/>
        <v>0</v>
      </c>
      <c r="CM90" s="67">
        <f t="shared" si="146"/>
        <v>0</v>
      </c>
      <c r="CN90" s="67">
        <f t="shared" si="146"/>
        <v>0</v>
      </c>
      <c r="CO90" s="67">
        <f t="shared" si="141"/>
        <v>0</v>
      </c>
      <c r="CP90" s="67">
        <f t="shared" si="141"/>
        <v>0</v>
      </c>
      <c r="CQ90" s="67">
        <f t="shared" si="141"/>
        <v>0</v>
      </c>
      <c r="CR90" s="37">
        <f t="shared" si="186"/>
        <v>0</v>
      </c>
      <c r="CS90" s="39">
        <f t="shared" si="89"/>
        <v>0</v>
      </c>
      <c r="CT90" s="53">
        <f t="shared" si="90"/>
        <v>0</v>
      </c>
      <c r="CU90" s="39">
        <f t="shared" si="91"/>
        <v>0</v>
      </c>
      <c r="CV90" s="39">
        <f t="shared" si="92"/>
        <v>0</v>
      </c>
      <c r="CW90" s="39">
        <f t="shared" si="93"/>
        <v>0</v>
      </c>
      <c r="CX90" s="39">
        <f t="shared" si="94"/>
        <v>0</v>
      </c>
      <c r="CY90" s="39">
        <f t="shared" si="95"/>
        <v>0</v>
      </c>
      <c r="CZ90" s="39">
        <f t="shared" si="96"/>
        <v>0</v>
      </c>
      <c r="DA90" s="39">
        <f t="shared" si="97"/>
        <v>0</v>
      </c>
      <c r="DB90" s="39">
        <f t="shared" si="98"/>
        <v>0</v>
      </c>
      <c r="DC90" s="39">
        <f t="shared" si="99"/>
        <v>0</v>
      </c>
      <c r="DD90" s="39">
        <f>+HLOOKUP('Reporte Evolución Mensual'!$F$2-2,$CR$2:$DC$251, Input!$DG90, FALSE)</f>
        <v>0</v>
      </c>
      <c r="DE90" s="39">
        <f>+HLOOKUP('Reporte Evolución Mensual'!$F$2-1,$CR$2:$DC$251, Input!$DG90, FALSE)</f>
        <v>0</v>
      </c>
      <c r="DF90" s="39">
        <f>+HLOOKUP('Reporte Evolución Mensual'!$F$2,$CR$2:$DC$371, Input!$DG90, FALSE)</f>
        <v>0</v>
      </c>
      <c r="DG90" s="40">
        <f t="shared" si="160"/>
        <v>90</v>
      </c>
      <c r="DH90" s="38"/>
      <c r="DI90" s="37">
        <f t="shared" si="187"/>
        <v>0</v>
      </c>
      <c r="DJ90" s="37">
        <f t="shared" si="188"/>
        <v>0</v>
      </c>
      <c r="DK90" s="37">
        <f t="shared" si="188"/>
        <v>0</v>
      </c>
      <c r="DL90" s="37">
        <f t="shared" si="188"/>
        <v>0</v>
      </c>
      <c r="DM90" s="37">
        <f t="shared" si="188"/>
        <v>0</v>
      </c>
      <c r="DN90" s="37">
        <f t="shared" si="188"/>
        <v>0</v>
      </c>
      <c r="DO90" s="37">
        <f t="shared" si="188"/>
        <v>0</v>
      </c>
      <c r="DP90" s="37">
        <f t="shared" si="188"/>
        <v>0</v>
      </c>
      <c r="DQ90" s="37">
        <f t="shared" si="188"/>
        <v>0</v>
      </c>
      <c r="DR90" s="37">
        <f t="shared" si="188"/>
        <v>0</v>
      </c>
      <c r="DS90" s="37">
        <f t="shared" si="188"/>
        <v>0</v>
      </c>
      <c r="DT90" s="37">
        <f t="shared" si="188"/>
        <v>0</v>
      </c>
      <c r="DU90" s="16"/>
      <c r="DV90" s="345" t="s">
        <v>163</v>
      </c>
    </row>
    <row r="91" spans="1:126" ht="15" customHeight="1" x14ac:dyDescent="0.3">
      <c r="A91" s="1" t="str">
        <f t="shared" si="137"/>
        <v>ADIFSE</v>
      </c>
      <c r="B91" s="1" t="str">
        <f t="shared" si="138"/>
        <v>ADIFSE</v>
      </c>
      <c r="C91" s="1" t="str">
        <f t="shared" si="139"/>
        <v>MAY</v>
      </c>
      <c r="D91" s="1" t="s">
        <v>163</v>
      </c>
      <c r="E91" s="69" t="str">
        <f t="shared" si="182"/>
        <v>Egresos de Capital - otros</v>
      </c>
      <c r="F91" s="73" t="s">
        <v>256</v>
      </c>
      <c r="G91" s="16" t="s">
        <v>230</v>
      </c>
      <c r="H91" s="7" t="s">
        <v>230</v>
      </c>
      <c r="I91" s="7" t="s">
        <v>255</v>
      </c>
      <c r="J91" s="7" t="s">
        <v>166</v>
      </c>
      <c r="K91" s="51"/>
      <c r="L91" s="51"/>
      <c r="M91" s="51"/>
      <c r="N91" s="51"/>
      <c r="O91" s="51"/>
      <c r="P91" s="51"/>
      <c r="Q91" s="67">
        <f t="shared" si="183"/>
        <v>0</v>
      </c>
      <c r="R91" s="51"/>
      <c r="S91" s="51"/>
      <c r="T91" s="51"/>
      <c r="U91" s="51"/>
      <c r="V91" s="51"/>
      <c r="W91" s="67">
        <f t="shared" si="184"/>
        <v>0</v>
      </c>
      <c r="X91" s="51"/>
      <c r="Y91" s="51"/>
      <c r="Z91" s="51"/>
      <c r="AA91" s="51"/>
      <c r="AB91" s="51"/>
      <c r="AC91" s="68">
        <f t="shared" si="167"/>
        <v>0</v>
      </c>
      <c r="AD91" s="51"/>
      <c r="AE91" s="51"/>
      <c r="AF91" s="51"/>
      <c r="AG91" s="51"/>
      <c r="AH91" s="51"/>
      <c r="AI91" s="68">
        <f t="shared" si="185"/>
        <v>0</v>
      </c>
      <c r="AJ91" s="51"/>
      <c r="AK91" s="51"/>
      <c r="AL91" s="51"/>
      <c r="AM91" s="51"/>
      <c r="AN91" s="51"/>
      <c r="AO91" s="68"/>
      <c r="AP91" s="51"/>
      <c r="AQ91" s="51"/>
      <c r="AR91" s="51"/>
      <c r="AS91" s="51"/>
      <c r="AT91" s="51"/>
      <c r="AU91" s="68"/>
      <c r="AV91" s="51"/>
      <c r="AW91" s="51"/>
      <c r="AX91" s="51"/>
      <c r="AY91" s="51"/>
      <c r="AZ91" s="51"/>
      <c r="BA91" s="68"/>
      <c r="BB91" s="51"/>
      <c r="BC91" s="51"/>
      <c r="BD91" s="51"/>
      <c r="BE91" s="51"/>
      <c r="BF91" s="51"/>
      <c r="BG91" s="68"/>
      <c r="BH91" s="51"/>
      <c r="BI91" s="51"/>
      <c r="BJ91" s="51"/>
      <c r="BK91" s="51"/>
      <c r="BL91" s="51"/>
      <c r="BM91" s="68"/>
      <c r="BN91" s="51"/>
      <c r="BO91" s="51"/>
      <c r="BP91" s="51"/>
      <c r="BQ91" s="51"/>
      <c r="BR91" s="51"/>
      <c r="BS91" s="68"/>
      <c r="BT91" s="51"/>
      <c r="BU91" s="51"/>
      <c r="BV91" s="51"/>
      <c r="BW91" s="51"/>
      <c r="BX91" s="51"/>
      <c r="BY91" s="68"/>
      <c r="BZ91" s="51"/>
      <c r="CA91" s="51"/>
      <c r="CB91" s="51"/>
      <c r="CC91" s="51"/>
      <c r="CD91" s="51"/>
      <c r="CE91" s="68"/>
      <c r="CF91" s="51"/>
      <c r="CG91" s="51"/>
      <c r="CH91" s="51"/>
      <c r="CI91" s="51"/>
      <c r="CJ91" s="51"/>
      <c r="CK91" s="68"/>
      <c r="CL91" s="67">
        <f t="shared" si="146"/>
        <v>0</v>
      </c>
      <c r="CM91" s="67">
        <f t="shared" si="146"/>
        <v>0</v>
      </c>
      <c r="CN91" s="67">
        <f t="shared" si="146"/>
        <v>0</v>
      </c>
      <c r="CO91" s="67">
        <f t="shared" si="141"/>
        <v>0</v>
      </c>
      <c r="CP91" s="67">
        <f t="shared" si="141"/>
        <v>0</v>
      </c>
      <c r="CQ91" s="67">
        <f t="shared" si="141"/>
        <v>0</v>
      </c>
      <c r="CR91" s="37">
        <f t="shared" si="186"/>
        <v>0</v>
      </c>
      <c r="CS91" s="39">
        <f t="shared" si="89"/>
        <v>0</v>
      </c>
      <c r="CT91" s="53">
        <f t="shared" si="90"/>
        <v>0</v>
      </c>
      <c r="CU91" s="39">
        <f t="shared" si="91"/>
        <v>0</v>
      </c>
      <c r="CV91" s="39">
        <f t="shared" si="92"/>
        <v>0</v>
      </c>
      <c r="CW91" s="39">
        <f t="shared" si="93"/>
        <v>0</v>
      </c>
      <c r="CX91" s="39">
        <f t="shared" si="94"/>
        <v>0</v>
      </c>
      <c r="CY91" s="39">
        <f t="shared" si="95"/>
        <v>0</v>
      </c>
      <c r="CZ91" s="39">
        <f t="shared" si="96"/>
        <v>0</v>
      </c>
      <c r="DA91" s="39">
        <f t="shared" si="97"/>
        <v>0</v>
      </c>
      <c r="DB91" s="39">
        <f t="shared" si="98"/>
        <v>0</v>
      </c>
      <c r="DC91" s="39">
        <f t="shared" si="99"/>
        <v>0</v>
      </c>
      <c r="DD91" s="39">
        <f>+HLOOKUP('Reporte Evolución Mensual'!$F$2-2,$CR$2:$DC$251, Input!$DG91, FALSE)</f>
        <v>0</v>
      </c>
      <c r="DE91" s="39">
        <f>+HLOOKUP('Reporte Evolución Mensual'!$F$2-1,$CR$2:$DC$251, Input!$DG91, FALSE)</f>
        <v>0</v>
      </c>
      <c r="DF91" s="39">
        <f>+HLOOKUP('Reporte Evolución Mensual'!$F$2,$CR$2:$DC$371, Input!$DG91, FALSE)</f>
        <v>0</v>
      </c>
      <c r="DG91" s="40">
        <f t="shared" si="160"/>
        <v>91</v>
      </c>
      <c r="DH91" s="38"/>
      <c r="DI91" s="37">
        <f t="shared" si="187"/>
        <v>0</v>
      </c>
      <c r="DJ91" s="37">
        <f t="shared" si="188"/>
        <v>0</v>
      </c>
      <c r="DK91" s="37">
        <f t="shared" si="188"/>
        <v>0</v>
      </c>
      <c r="DL91" s="37">
        <f t="shared" si="188"/>
        <v>0</v>
      </c>
      <c r="DM91" s="37">
        <f t="shared" si="188"/>
        <v>0</v>
      </c>
      <c r="DN91" s="37">
        <f t="shared" si="188"/>
        <v>0</v>
      </c>
      <c r="DO91" s="37">
        <f t="shared" si="188"/>
        <v>0</v>
      </c>
      <c r="DP91" s="37">
        <f t="shared" si="188"/>
        <v>0</v>
      </c>
      <c r="DQ91" s="37">
        <f t="shared" si="188"/>
        <v>0</v>
      </c>
      <c r="DR91" s="37">
        <f t="shared" si="188"/>
        <v>0</v>
      </c>
      <c r="DS91" s="37">
        <f t="shared" si="188"/>
        <v>0</v>
      </c>
      <c r="DT91" s="37">
        <f t="shared" si="188"/>
        <v>0</v>
      </c>
      <c r="DU91" s="16"/>
      <c r="DV91" s="345" t="s">
        <v>163</v>
      </c>
    </row>
    <row r="92" spans="1:126" ht="15" customHeight="1" x14ac:dyDescent="0.3">
      <c r="A92" s="1" t="str">
        <f t="shared" si="137"/>
        <v>ADIFSE</v>
      </c>
      <c r="B92" s="1" t="str">
        <f t="shared" si="138"/>
        <v>ADIFSE</v>
      </c>
      <c r="C92" s="1" t="str">
        <f t="shared" si="139"/>
        <v>MAY</v>
      </c>
      <c r="D92" s="75" t="s">
        <v>108</v>
      </c>
      <c r="E92" s="65" t="s">
        <v>257</v>
      </c>
      <c r="F92" s="75"/>
      <c r="G92" s="16" t="s">
        <v>230</v>
      </c>
      <c r="H92" s="7" t="s">
        <v>202</v>
      </c>
      <c r="I92" s="7">
        <v>1</v>
      </c>
      <c r="J92" s="7" t="s">
        <v>166</v>
      </c>
      <c r="K92" s="46">
        <f>SUM(K89:K91)</f>
        <v>0</v>
      </c>
      <c r="L92" s="46">
        <f t="shared" ref="L92:Q92" si="189">SUM(L89:L91)</f>
        <v>0</v>
      </c>
      <c r="M92" s="46">
        <f t="shared" si="189"/>
        <v>0</v>
      </c>
      <c r="N92" s="46">
        <f t="shared" si="189"/>
        <v>0</v>
      </c>
      <c r="O92" s="46">
        <f t="shared" si="189"/>
        <v>0</v>
      </c>
      <c r="P92" s="46">
        <f t="shared" si="189"/>
        <v>0</v>
      </c>
      <c r="Q92" s="56">
        <f t="shared" si="189"/>
        <v>0</v>
      </c>
      <c r="R92" s="46">
        <f t="shared" ref="R92:AW92" si="190">SUM(R89:R91)</f>
        <v>0</v>
      </c>
      <c r="S92" s="46">
        <f t="shared" si="190"/>
        <v>0</v>
      </c>
      <c r="T92" s="46">
        <f t="shared" si="190"/>
        <v>0</v>
      </c>
      <c r="U92" s="46">
        <f t="shared" si="190"/>
        <v>0</v>
      </c>
      <c r="V92" s="46">
        <f t="shared" si="190"/>
        <v>0</v>
      </c>
      <c r="W92" s="86">
        <f t="shared" si="190"/>
        <v>0</v>
      </c>
      <c r="X92" s="46">
        <f t="shared" si="190"/>
        <v>0</v>
      </c>
      <c r="Y92" s="46">
        <f t="shared" si="190"/>
        <v>0</v>
      </c>
      <c r="Z92" s="46">
        <f t="shared" si="190"/>
        <v>0</v>
      </c>
      <c r="AA92" s="46">
        <f t="shared" si="190"/>
        <v>0</v>
      </c>
      <c r="AB92" s="46">
        <f t="shared" si="190"/>
        <v>0</v>
      </c>
      <c r="AC92" s="86">
        <f t="shared" si="190"/>
        <v>0</v>
      </c>
      <c r="AD92" s="46">
        <f t="shared" si="190"/>
        <v>0</v>
      </c>
      <c r="AE92" s="46">
        <f t="shared" si="190"/>
        <v>0</v>
      </c>
      <c r="AF92" s="46">
        <f t="shared" si="190"/>
        <v>0</v>
      </c>
      <c r="AG92" s="46">
        <f t="shared" si="190"/>
        <v>0</v>
      </c>
      <c r="AH92" s="46">
        <f t="shared" si="190"/>
        <v>0</v>
      </c>
      <c r="AI92" s="86">
        <f t="shared" si="190"/>
        <v>0</v>
      </c>
      <c r="AJ92" s="46">
        <f t="shared" si="190"/>
        <v>0</v>
      </c>
      <c r="AK92" s="46">
        <f t="shared" si="190"/>
        <v>0</v>
      </c>
      <c r="AL92" s="46">
        <f t="shared" si="190"/>
        <v>0</v>
      </c>
      <c r="AM92" s="46">
        <f t="shared" si="190"/>
        <v>0</v>
      </c>
      <c r="AN92" s="46">
        <f t="shared" si="190"/>
        <v>0</v>
      </c>
      <c r="AO92" s="86">
        <f t="shared" si="190"/>
        <v>0</v>
      </c>
      <c r="AP92" s="46">
        <f t="shared" si="190"/>
        <v>0</v>
      </c>
      <c r="AQ92" s="46">
        <f t="shared" si="190"/>
        <v>0</v>
      </c>
      <c r="AR92" s="46">
        <f t="shared" si="190"/>
        <v>0</v>
      </c>
      <c r="AS92" s="46">
        <f t="shared" si="190"/>
        <v>0</v>
      </c>
      <c r="AT92" s="46">
        <f t="shared" si="190"/>
        <v>0</v>
      </c>
      <c r="AU92" s="86">
        <f t="shared" si="190"/>
        <v>0</v>
      </c>
      <c r="AV92" s="46">
        <f t="shared" si="190"/>
        <v>0</v>
      </c>
      <c r="AW92" s="46">
        <f t="shared" si="190"/>
        <v>0</v>
      </c>
      <c r="AX92" s="46">
        <f t="shared" ref="AX92:BW92" si="191">SUM(AX89:AX91)</f>
        <v>0</v>
      </c>
      <c r="AY92" s="46">
        <f t="shared" si="191"/>
        <v>0</v>
      </c>
      <c r="AZ92" s="46">
        <f t="shared" si="191"/>
        <v>0</v>
      </c>
      <c r="BA92" s="86">
        <f t="shared" si="191"/>
        <v>0</v>
      </c>
      <c r="BB92" s="46">
        <f t="shared" si="191"/>
        <v>0</v>
      </c>
      <c r="BC92" s="46">
        <f t="shared" si="191"/>
        <v>0</v>
      </c>
      <c r="BD92" s="46">
        <f t="shared" si="191"/>
        <v>0</v>
      </c>
      <c r="BE92" s="46">
        <f t="shared" si="191"/>
        <v>0</v>
      </c>
      <c r="BF92" s="46">
        <f t="shared" si="191"/>
        <v>0</v>
      </c>
      <c r="BG92" s="86">
        <f t="shared" si="191"/>
        <v>0</v>
      </c>
      <c r="BH92" s="46">
        <f t="shared" si="191"/>
        <v>0</v>
      </c>
      <c r="BI92" s="46">
        <f t="shared" si="191"/>
        <v>0</v>
      </c>
      <c r="BJ92" s="46">
        <f t="shared" si="191"/>
        <v>0</v>
      </c>
      <c r="BK92" s="46">
        <f t="shared" si="191"/>
        <v>0</v>
      </c>
      <c r="BL92" s="46">
        <f t="shared" si="191"/>
        <v>0</v>
      </c>
      <c r="BM92" s="86">
        <f t="shared" si="191"/>
        <v>0</v>
      </c>
      <c r="BN92" s="46">
        <f t="shared" si="191"/>
        <v>0</v>
      </c>
      <c r="BO92" s="46">
        <f t="shared" si="191"/>
        <v>0</v>
      </c>
      <c r="BP92" s="46">
        <f t="shared" si="191"/>
        <v>0</v>
      </c>
      <c r="BQ92" s="46">
        <f t="shared" si="191"/>
        <v>0</v>
      </c>
      <c r="BR92" s="46">
        <f t="shared" si="191"/>
        <v>0</v>
      </c>
      <c r="BS92" s="86">
        <f t="shared" si="191"/>
        <v>0</v>
      </c>
      <c r="BT92" s="46">
        <f t="shared" si="191"/>
        <v>0</v>
      </c>
      <c r="BU92" s="46">
        <f t="shared" si="191"/>
        <v>0</v>
      </c>
      <c r="BV92" s="46">
        <f t="shared" si="191"/>
        <v>0</v>
      </c>
      <c r="BW92" s="46">
        <f t="shared" si="191"/>
        <v>0</v>
      </c>
      <c r="BX92" s="46">
        <f t="shared" ref="BX92:CK92" si="192">SUM(BX89:BX91)</f>
        <v>0</v>
      </c>
      <c r="BY92" s="86">
        <f t="shared" si="192"/>
        <v>0</v>
      </c>
      <c r="BZ92" s="46">
        <f t="shared" si="192"/>
        <v>0</v>
      </c>
      <c r="CA92" s="46">
        <f t="shared" si="192"/>
        <v>0</v>
      </c>
      <c r="CB92" s="46">
        <f t="shared" si="192"/>
        <v>0</v>
      </c>
      <c r="CC92" s="46">
        <f t="shared" si="192"/>
        <v>0</v>
      </c>
      <c r="CD92" s="46">
        <f t="shared" si="192"/>
        <v>0</v>
      </c>
      <c r="CE92" s="86">
        <f t="shared" si="192"/>
        <v>0</v>
      </c>
      <c r="CF92" s="46">
        <f t="shared" si="192"/>
        <v>0</v>
      </c>
      <c r="CG92" s="46">
        <f t="shared" si="192"/>
        <v>0</v>
      </c>
      <c r="CH92" s="46">
        <f t="shared" si="192"/>
        <v>0</v>
      </c>
      <c r="CI92" s="46">
        <f t="shared" si="192"/>
        <v>0</v>
      </c>
      <c r="CJ92" s="46">
        <f t="shared" si="192"/>
        <v>0</v>
      </c>
      <c r="CK92" s="86">
        <f t="shared" si="192"/>
        <v>0</v>
      </c>
      <c r="CL92" s="56">
        <f t="shared" si="146"/>
        <v>0</v>
      </c>
      <c r="CM92" s="56">
        <f t="shared" si="146"/>
        <v>0</v>
      </c>
      <c r="CN92" s="56">
        <f t="shared" si="146"/>
        <v>0</v>
      </c>
      <c r="CO92" s="56">
        <f t="shared" si="141"/>
        <v>0</v>
      </c>
      <c r="CP92" s="56">
        <f t="shared" si="141"/>
        <v>0</v>
      </c>
      <c r="CQ92" s="56">
        <f t="shared" si="141"/>
        <v>0</v>
      </c>
      <c r="CR92" s="37">
        <f t="shared" si="186"/>
        <v>0</v>
      </c>
      <c r="CS92" s="39">
        <f t="shared" si="89"/>
        <v>0</v>
      </c>
      <c r="CT92" s="53">
        <f t="shared" si="90"/>
        <v>0</v>
      </c>
      <c r="CU92" s="39">
        <f t="shared" si="91"/>
        <v>0</v>
      </c>
      <c r="CV92" s="39">
        <f t="shared" si="92"/>
        <v>0</v>
      </c>
      <c r="CW92" s="39">
        <f t="shared" si="93"/>
        <v>0</v>
      </c>
      <c r="CX92" s="39">
        <f t="shared" si="94"/>
        <v>0</v>
      </c>
      <c r="CY92" s="39">
        <f t="shared" si="95"/>
        <v>0</v>
      </c>
      <c r="CZ92" s="39">
        <f t="shared" si="96"/>
        <v>0</v>
      </c>
      <c r="DA92" s="39">
        <f t="shared" si="97"/>
        <v>0</v>
      </c>
      <c r="DB92" s="39">
        <f t="shared" si="98"/>
        <v>0</v>
      </c>
      <c r="DC92" s="39">
        <f t="shared" si="99"/>
        <v>0</v>
      </c>
      <c r="DD92" s="39">
        <f>+HLOOKUP('Reporte Evolución Mensual'!$F$2-2,$CR$2:$DC$251, Input!$DG92, FALSE)</f>
        <v>0</v>
      </c>
      <c r="DE92" s="39">
        <f>+HLOOKUP('Reporte Evolución Mensual'!$F$2-1,$CR$2:$DC$251, Input!$DG92, FALSE)</f>
        <v>0</v>
      </c>
      <c r="DF92" s="39">
        <f>+HLOOKUP('Reporte Evolución Mensual'!$F$2,$CR$2:$DC$371, Input!$DG92, FALSE)</f>
        <v>0</v>
      </c>
      <c r="DG92" s="40">
        <f t="shared" si="160"/>
        <v>92</v>
      </c>
      <c r="DH92" s="37"/>
      <c r="DI92" s="37">
        <f t="shared" si="187"/>
        <v>0</v>
      </c>
      <c r="DJ92" s="37">
        <f t="shared" si="188"/>
        <v>0</v>
      </c>
      <c r="DK92" s="37">
        <f t="shared" si="188"/>
        <v>0</v>
      </c>
      <c r="DL92" s="37">
        <f t="shared" si="188"/>
        <v>0</v>
      </c>
      <c r="DM92" s="37">
        <f t="shared" si="188"/>
        <v>0</v>
      </c>
      <c r="DN92" s="37">
        <f t="shared" si="188"/>
        <v>0</v>
      </c>
      <c r="DO92" s="37">
        <f t="shared" si="188"/>
        <v>0</v>
      </c>
      <c r="DP92" s="37">
        <f t="shared" si="188"/>
        <v>0</v>
      </c>
      <c r="DQ92" s="37">
        <f t="shared" si="188"/>
        <v>0</v>
      </c>
      <c r="DR92" s="37">
        <f t="shared" si="188"/>
        <v>0</v>
      </c>
      <c r="DS92" s="37">
        <f t="shared" si="188"/>
        <v>0</v>
      </c>
      <c r="DT92" s="37">
        <f t="shared" si="188"/>
        <v>0</v>
      </c>
      <c r="DU92" s="1"/>
      <c r="DV92" s="345"/>
    </row>
    <row r="93" spans="1:126" ht="15" customHeight="1" x14ac:dyDescent="0.3">
      <c r="A93" s="1" t="str">
        <f t="shared" si="137"/>
        <v>ADIFSE</v>
      </c>
      <c r="B93" s="1" t="str">
        <f t="shared" si="138"/>
        <v>ADIFSE</v>
      </c>
      <c r="C93" s="1" t="str">
        <f t="shared" si="139"/>
        <v>MAY</v>
      </c>
      <c r="D93" s="75" t="s">
        <v>108</v>
      </c>
      <c r="E93" s="69" t="s">
        <v>333</v>
      </c>
      <c r="F93" s="72"/>
      <c r="G93" s="16"/>
      <c r="H93" s="7"/>
      <c r="I93" s="7"/>
      <c r="J93" s="7"/>
      <c r="K93" s="38"/>
      <c r="L93" s="38"/>
      <c r="M93" s="38"/>
      <c r="N93" s="38"/>
      <c r="O93" s="38"/>
      <c r="P93" s="38"/>
      <c r="Q93" s="67"/>
      <c r="R93" s="38"/>
      <c r="S93" s="38"/>
      <c r="T93" s="38"/>
      <c r="U93" s="38"/>
      <c r="V93" s="38"/>
      <c r="W93" s="71"/>
      <c r="X93" s="38"/>
      <c r="Y93" s="38"/>
      <c r="Z93" s="38"/>
      <c r="AA93" s="38"/>
      <c r="AB93" s="38"/>
      <c r="AC93" s="71"/>
      <c r="AD93" s="38"/>
      <c r="AE93" s="38"/>
      <c r="AF93" s="38"/>
      <c r="AG93" s="38"/>
      <c r="AH93" s="38"/>
      <c r="AI93" s="71"/>
      <c r="AJ93" s="38"/>
      <c r="AK93" s="38"/>
      <c r="AL93" s="38"/>
      <c r="AM93" s="38"/>
      <c r="AN93" s="38"/>
      <c r="AO93" s="71"/>
      <c r="AP93" s="38"/>
      <c r="AQ93" s="38"/>
      <c r="AR93" s="38"/>
      <c r="AS93" s="38"/>
      <c r="AT93" s="38"/>
      <c r="AU93" s="71"/>
      <c r="AV93" s="38"/>
      <c r="AW93" s="38"/>
      <c r="AX93" s="38"/>
      <c r="AY93" s="38"/>
      <c r="AZ93" s="38"/>
      <c r="BA93" s="71"/>
      <c r="BB93" s="38"/>
      <c r="BC93" s="38"/>
      <c r="BD93" s="38"/>
      <c r="BE93" s="38"/>
      <c r="BF93" s="38"/>
      <c r="BG93" s="71"/>
      <c r="BH93" s="38"/>
      <c r="BI93" s="38"/>
      <c r="BJ93" s="38"/>
      <c r="BK93" s="38"/>
      <c r="BL93" s="38"/>
      <c r="BM93" s="71"/>
      <c r="BN93" s="38"/>
      <c r="BO93" s="38"/>
      <c r="BP93" s="38"/>
      <c r="BQ93" s="38"/>
      <c r="BR93" s="38"/>
      <c r="BS93" s="71"/>
      <c r="BT93" s="38"/>
      <c r="BU93" s="38"/>
      <c r="BV93" s="38"/>
      <c r="BW93" s="38"/>
      <c r="BX93" s="38"/>
      <c r="BY93" s="71"/>
      <c r="BZ93" s="38"/>
      <c r="CA93" s="38"/>
      <c r="CB93" s="38"/>
      <c r="CC93" s="38"/>
      <c r="CD93" s="38"/>
      <c r="CE93" s="71"/>
      <c r="CF93" s="38"/>
      <c r="CG93" s="38"/>
      <c r="CH93" s="38"/>
      <c r="CI93" s="38"/>
      <c r="CJ93" s="38"/>
      <c r="CK93" s="71"/>
      <c r="CL93" s="67"/>
      <c r="CM93" s="67"/>
      <c r="CN93" s="67"/>
      <c r="CO93" s="67"/>
      <c r="CP93" s="67"/>
      <c r="CQ93" s="67"/>
      <c r="CR93" s="37"/>
      <c r="CS93" s="39"/>
      <c r="CT93" s="53"/>
      <c r="CU93" s="39"/>
      <c r="CV93" s="39"/>
      <c r="CW93" s="39"/>
      <c r="CX93" s="39"/>
      <c r="CY93" s="39"/>
      <c r="CZ93" s="39"/>
      <c r="DA93" s="39"/>
      <c r="DB93" s="39"/>
      <c r="DC93" s="39"/>
      <c r="DD93" s="39">
        <f>+HLOOKUP('Reporte Evolución Mensual'!$F$2-2,$CR$2:$DC$251, Input!$DG93, FALSE)</f>
        <v>899619424.86878335</v>
      </c>
      <c r="DE93" s="39">
        <f>+HLOOKUP('Reporte Evolución Mensual'!$F$2-1,$CR$2:$DC$251, Input!$DG93, FALSE)</f>
        <v>886851211.68071795</v>
      </c>
      <c r="DF93" s="39">
        <f>+HLOOKUP('Reporte Evolución Mensual'!$F$2,$CR$2:$DC$371, Input!$DG93, FALSE)</f>
        <v>1043971826.2901583</v>
      </c>
      <c r="DG93" s="40">
        <f t="shared" si="160"/>
        <v>93</v>
      </c>
      <c r="DH93" s="37"/>
      <c r="DI93" s="37"/>
      <c r="DJ93" s="37"/>
      <c r="DK93" s="37"/>
      <c r="DL93" s="37"/>
      <c r="DM93" s="37"/>
      <c r="DN93" s="37"/>
      <c r="DO93" s="63"/>
      <c r="DP93" s="63"/>
      <c r="DQ93" s="63"/>
      <c r="DR93" s="63"/>
      <c r="DS93" s="75"/>
      <c r="DT93" s="75"/>
      <c r="DU93" s="1"/>
      <c r="DV93" s="345"/>
    </row>
    <row r="94" spans="1:126" ht="15" customHeight="1" x14ac:dyDescent="0.3">
      <c r="A94" s="1" t="str">
        <f t="shared" si="137"/>
        <v>ADIFSE</v>
      </c>
      <c r="B94" s="1" t="str">
        <f t="shared" si="138"/>
        <v>ADIFSE</v>
      </c>
      <c r="C94" s="1" t="str">
        <f t="shared" si="139"/>
        <v>MAY</v>
      </c>
      <c r="D94" s="41" t="s">
        <v>108</v>
      </c>
      <c r="E94" s="65" t="s">
        <v>258</v>
      </c>
      <c r="F94" s="87"/>
      <c r="G94" s="16" t="s">
        <v>230</v>
      </c>
      <c r="H94" s="7" t="s">
        <v>173</v>
      </c>
      <c r="I94" s="7" t="s">
        <v>173</v>
      </c>
      <c r="J94" s="7" t="s">
        <v>166</v>
      </c>
      <c r="K94" s="46">
        <f>+K70+K92+K86</f>
        <v>5434444645.3832016</v>
      </c>
      <c r="L94" s="46">
        <f t="shared" ref="L94:Q94" si="193">+L70+L92+L86</f>
        <v>3505800000</v>
      </c>
      <c r="M94" s="46">
        <f>+M70+M92+M86</f>
        <v>0</v>
      </c>
      <c r="N94" s="46">
        <f t="shared" si="193"/>
        <v>0</v>
      </c>
      <c r="O94" s="46">
        <f t="shared" si="193"/>
        <v>1500000000</v>
      </c>
      <c r="P94" s="46">
        <f t="shared" si="193"/>
        <v>6026722795.1344004</v>
      </c>
      <c r="Q94" s="46">
        <f t="shared" si="193"/>
        <v>11032522795.134399</v>
      </c>
      <c r="R94" s="46">
        <f t="shared" ref="R94:AW94" si="194">+R70+R92+R86</f>
        <v>358995615.60461777</v>
      </c>
      <c r="S94" s="46">
        <f t="shared" si="194"/>
        <v>0</v>
      </c>
      <c r="T94" s="46">
        <f t="shared" si="194"/>
        <v>0</v>
      </c>
      <c r="U94" s="46">
        <f t="shared" si="194"/>
        <v>0</v>
      </c>
      <c r="V94" s="46">
        <f t="shared" si="194"/>
        <v>0</v>
      </c>
      <c r="W94" s="46">
        <f t="shared" si="194"/>
        <v>358995615.60461777</v>
      </c>
      <c r="X94" s="46">
        <f t="shared" si="194"/>
        <v>438225000</v>
      </c>
      <c r="Y94" s="46">
        <f t="shared" si="194"/>
        <v>0</v>
      </c>
      <c r="Z94" s="46">
        <f t="shared" si="194"/>
        <v>0</v>
      </c>
      <c r="AA94" s="46">
        <f t="shared" si="194"/>
        <v>200000000</v>
      </c>
      <c r="AB94" s="46">
        <f t="shared" si="194"/>
        <v>92546052.767767996</v>
      </c>
      <c r="AC94" s="46">
        <f t="shared" si="194"/>
        <v>730771052.76776803</v>
      </c>
      <c r="AD94" s="46">
        <f t="shared" si="194"/>
        <v>438225000</v>
      </c>
      <c r="AE94" s="46">
        <f t="shared" si="194"/>
        <v>0</v>
      </c>
      <c r="AF94" s="46">
        <f t="shared" si="194"/>
        <v>0</v>
      </c>
      <c r="AG94" s="46">
        <f t="shared" si="194"/>
        <v>200000000</v>
      </c>
      <c r="AH94" s="46">
        <f t="shared" si="194"/>
        <v>261394424.86878335</v>
      </c>
      <c r="AI94" s="46">
        <f t="shared" si="194"/>
        <v>899619424.86878335</v>
      </c>
      <c r="AJ94" s="46">
        <f t="shared" si="194"/>
        <v>236851211.680718</v>
      </c>
      <c r="AK94" s="46">
        <f t="shared" si="194"/>
        <v>0</v>
      </c>
      <c r="AL94" s="46">
        <f t="shared" si="194"/>
        <v>0</v>
      </c>
      <c r="AM94" s="46">
        <f t="shared" si="194"/>
        <v>150000000</v>
      </c>
      <c r="AN94" s="46">
        <f t="shared" si="194"/>
        <v>500000000</v>
      </c>
      <c r="AO94" s="46">
        <f t="shared" si="194"/>
        <v>886851211.68071795</v>
      </c>
      <c r="AP94" s="46">
        <f t="shared" si="194"/>
        <v>289648363.19143629</v>
      </c>
      <c r="AQ94" s="46">
        <f t="shared" si="194"/>
        <v>0</v>
      </c>
      <c r="AR94" s="46">
        <f t="shared" si="194"/>
        <v>0</v>
      </c>
      <c r="AS94" s="46">
        <f t="shared" si="194"/>
        <v>150000000</v>
      </c>
      <c r="AT94" s="46">
        <f t="shared" si="194"/>
        <v>604323463.09872198</v>
      </c>
      <c r="AU94" s="46">
        <f t="shared" si="194"/>
        <v>1043971826.2901583</v>
      </c>
      <c r="AV94" s="46">
        <f t="shared" si="194"/>
        <v>485501141.61841416</v>
      </c>
      <c r="AW94" s="46">
        <f t="shared" si="194"/>
        <v>0</v>
      </c>
      <c r="AX94" s="46">
        <f t="shared" ref="AX94:BW94" si="195">+AX70+AX92+AX86</f>
        <v>0</v>
      </c>
      <c r="AY94" s="46">
        <f t="shared" si="195"/>
        <v>150000000</v>
      </c>
      <c r="AZ94" s="46">
        <f t="shared" si="195"/>
        <v>472682172.34051806</v>
      </c>
      <c r="BA94" s="46">
        <f t="shared" si="195"/>
        <v>1108183313.9589322</v>
      </c>
      <c r="BB94" s="46">
        <f t="shared" si="195"/>
        <v>652004049.14677906</v>
      </c>
      <c r="BC94" s="46">
        <f t="shared" si="195"/>
        <v>0</v>
      </c>
      <c r="BD94" s="46">
        <f t="shared" si="195"/>
        <v>0</v>
      </c>
      <c r="BE94" s="46">
        <f t="shared" si="195"/>
        <v>150000000</v>
      </c>
      <c r="BF94" s="46">
        <f t="shared" si="195"/>
        <v>295648304.62660432</v>
      </c>
      <c r="BG94" s="46">
        <f t="shared" si="195"/>
        <v>1097652353.7733834</v>
      </c>
      <c r="BH94" s="46">
        <f t="shared" si="195"/>
        <v>483685274.81260371</v>
      </c>
      <c r="BI94" s="46">
        <f t="shared" si="195"/>
        <v>0</v>
      </c>
      <c r="BJ94" s="46">
        <f t="shared" si="195"/>
        <v>0</v>
      </c>
      <c r="BK94" s="46">
        <f t="shared" si="195"/>
        <v>150000000</v>
      </c>
      <c r="BL94" s="46">
        <f t="shared" si="195"/>
        <v>456502479.72091794</v>
      </c>
      <c r="BM94" s="46">
        <f t="shared" si="195"/>
        <v>1090187754.5335217</v>
      </c>
      <c r="BN94" s="46">
        <f t="shared" si="195"/>
        <v>430030259.96091521</v>
      </c>
      <c r="BO94" s="46">
        <f t="shared" si="195"/>
        <v>0</v>
      </c>
      <c r="BP94" s="46">
        <f t="shared" si="195"/>
        <v>0</v>
      </c>
      <c r="BQ94" s="46">
        <f t="shared" si="195"/>
        <v>150000000</v>
      </c>
      <c r="BR94" s="46">
        <f t="shared" si="195"/>
        <v>610588957.21385944</v>
      </c>
      <c r="BS94" s="46">
        <f t="shared" si="195"/>
        <v>1190619217.1747746</v>
      </c>
      <c r="BT94" s="46">
        <f t="shared" si="195"/>
        <v>613303691.14505875</v>
      </c>
      <c r="BU94" s="46">
        <f t="shared" si="195"/>
        <v>0</v>
      </c>
      <c r="BV94" s="46">
        <f t="shared" si="195"/>
        <v>0</v>
      </c>
      <c r="BW94" s="46">
        <f t="shared" si="195"/>
        <v>100000000</v>
      </c>
      <c r="BX94" s="46">
        <f t="shared" ref="BX94:CK94" si="196">+BX70+BX92+BX86</f>
        <v>538150982.10768926</v>
      </c>
      <c r="BY94" s="46">
        <f t="shared" si="196"/>
        <v>1251454673.252748</v>
      </c>
      <c r="BZ94" s="46">
        <f t="shared" si="196"/>
        <v>293872654.51091683</v>
      </c>
      <c r="CA94" s="46">
        <f t="shared" si="196"/>
        <v>0</v>
      </c>
      <c r="CB94" s="46">
        <f t="shared" si="196"/>
        <v>0</v>
      </c>
      <c r="CC94" s="46">
        <f t="shared" si="196"/>
        <v>100000000</v>
      </c>
      <c r="CD94" s="46">
        <f t="shared" si="196"/>
        <v>801381916.11804998</v>
      </c>
      <c r="CE94" s="46">
        <f t="shared" si="196"/>
        <v>1195254570.6289668</v>
      </c>
      <c r="CF94" s="46">
        <f t="shared" si="196"/>
        <v>553532463.42286646</v>
      </c>
      <c r="CG94" s="46">
        <f t="shared" si="196"/>
        <v>0</v>
      </c>
      <c r="CH94" s="46">
        <f t="shared" si="196"/>
        <v>0</v>
      </c>
      <c r="CI94" s="46">
        <f t="shared" si="196"/>
        <v>0</v>
      </c>
      <c r="CJ94" s="46">
        <f t="shared" si="196"/>
        <v>682101636.94691539</v>
      </c>
      <c r="CK94" s="46">
        <f t="shared" si="196"/>
        <v>1235634100.369782</v>
      </c>
      <c r="CL94" s="67">
        <f t="shared" si="146"/>
        <v>5273874725.094327</v>
      </c>
      <c r="CM94" s="67">
        <f t="shared" si="146"/>
        <v>0</v>
      </c>
      <c r="CN94" s="67">
        <f t="shared" si="146"/>
        <v>0</v>
      </c>
      <c r="CO94" s="67">
        <f t="shared" si="141"/>
        <v>1500000000</v>
      </c>
      <c r="CP94" s="67">
        <f t="shared" si="141"/>
        <v>5315320389.8098278</v>
      </c>
      <c r="CQ94" s="67">
        <f t="shared" si="141"/>
        <v>12089195114.904154</v>
      </c>
      <c r="CR94" s="37">
        <f t="shared" ref="CR94" si="197">+W94</f>
        <v>358995615.60461777</v>
      </c>
      <c r="CS94" s="39">
        <f t="shared" si="89"/>
        <v>730771052.76776803</v>
      </c>
      <c r="CT94" s="53">
        <f t="shared" si="90"/>
        <v>899619424.86878335</v>
      </c>
      <c r="CU94" s="39">
        <f t="shared" si="91"/>
        <v>886851211.68071795</v>
      </c>
      <c r="CV94" s="39">
        <f t="shared" si="92"/>
        <v>1043971826.2901583</v>
      </c>
      <c r="CW94" s="39">
        <f t="shared" si="93"/>
        <v>1108183313.9589322</v>
      </c>
      <c r="CX94" s="39">
        <f t="shared" si="94"/>
        <v>1097652353.7733834</v>
      </c>
      <c r="CY94" s="39">
        <f t="shared" si="95"/>
        <v>1090187754.5335217</v>
      </c>
      <c r="CZ94" s="39">
        <f t="shared" si="96"/>
        <v>1190619217.1747746</v>
      </c>
      <c r="DA94" s="39">
        <f t="shared" si="97"/>
        <v>1251454673.252748</v>
      </c>
      <c r="DB94" s="39">
        <f t="shared" si="98"/>
        <v>1195254570.6289668</v>
      </c>
      <c r="DC94" s="39">
        <f t="shared" si="99"/>
        <v>1235634100.369782</v>
      </c>
      <c r="DD94" s="39">
        <f>+HLOOKUP('Reporte Evolución Mensual'!$F$2-2,$CR$2:$DC$251, Input!$DG94, FALSE)</f>
        <v>0</v>
      </c>
      <c r="DE94" s="39">
        <f>+HLOOKUP('Reporte Evolución Mensual'!$F$2-1,$CR$2:$DC$251, Input!$DG94, FALSE)</f>
        <v>0</v>
      </c>
      <c r="DF94" s="39">
        <f>+HLOOKUP('Reporte Evolución Mensual'!$F$2,$CR$2:$DC$371, Input!$DG94, FALSE)</f>
        <v>0</v>
      </c>
      <c r="DG94" s="40">
        <f t="shared" si="160"/>
        <v>94</v>
      </c>
      <c r="DH94" s="39"/>
      <c r="DI94" s="37">
        <f>+CR94</f>
        <v>358995615.60461777</v>
      </c>
      <c r="DJ94" s="37">
        <f>+DI94+CS94</f>
        <v>1089766668.3723857</v>
      </c>
      <c r="DK94" s="37">
        <f>+DJ94+CT94</f>
        <v>1989386093.241169</v>
      </c>
      <c r="DL94" s="37">
        <f t="shared" ref="DL94:DT94" si="198">+DK94+CU94</f>
        <v>2876237304.9218869</v>
      </c>
      <c r="DM94" s="37">
        <f t="shared" si="198"/>
        <v>3920209131.2120452</v>
      </c>
      <c r="DN94" s="37">
        <f t="shared" si="198"/>
        <v>5028392445.1709776</v>
      </c>
      <c r="DO94" s="37">
        <f t="shared" si="198"/>
        <v>6126044798.9443607</v>
      </c>
      <c r="DP94" s="37">
        <f t="shared" si="198"/>
        <v>7216232553.4778824</v>
      </c>
      <c r="DQ94" s="37">
        <f t="shared" si="198"/>
        <v>8406851770.6526566</v>
      </c>
      <c r="DR94" s="37">
        <f t="shared" si="198"/>
        <v>9658306443.905405</v>
      </c>
      <c r="DS94" s="37">
        <f t="shared" si="198"/>
        <v>10853561014.534372</v>
      </c>
      <c r="DT94" s="37">
        <f t="shared" si="198"/>
        <v>12089195114.904154</v>
      </c>
      <c r="DU94" s="1"/>
      <c r="DV94" s="345"/>
    </row>
    <row r="95" spans="1:126" ht="15" customHeight="1" x14ac:dyDescent="0.3">
      <c r="A95" s="1" t="str">
        <f t="shared" si="137"/>
        <v>ADIFSE</v>
      </c>
      <c r="B95" s="1" t="str">
        <f t="shared" si="138"/>
        <v>ADIFSE</v>
      </c>
      <c r="C95" s="1" t="str">
        <f t="shared" si="139"/>
        <v>MAY</v>
      </c>
      <c r="D95" s="41" t="s">
        <v>108</v>
      </c>
      <c r="E95" s="65" t="s">
        <v>333</v>
      </c>
      <c r="F95" s="87"/>
      <c r="G95" s="16"/>
      <c r="H95" s="7"/>
      <c r="I95" s="7"/>
      <c r="J95" s="7"/>
      <c r="K95" s="48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46"/>
      <c r="CH95" s="46"/>
      <c r="CI95" s="46"/>
      <c r="CJ95" s="46"/>
      <c r="CK95" s="46"/>
      <c r="CL95" s="67"/>
      <c r="CM95" s="67"/>
      <c r="CN95" s="67"/>
      <c r="CO95" s="67"/>
      <c r="CP95" s="67"/>
      <c r="CQ95" s="67"/>
      <c r="CR95" s="39"/>
      <c r="CS95" s="39"/>
      <c r="CT95" s="53"/>
      <c r="CU95" s="39"/>
      <c r="CV95" s="39"/>
      <c r="CW95" s="39"/>
      <c r="CX95" s="39"/>
      <c r="CY95" s="39"/>
      <c r="CZ95" s="39"/>
      <c r="DA95" s="39"/>
      <c r="DB95" s="39"/>
      <c r="DC95" s="39"/>
      <c r="DD95" s="39">
        <f>+HLOOKUP('Reporte Evolución Mensual'!$F$2-2,$CR$2:$DC$251, Input!$DG95, FALSE)</f>
        <v>0</v>
      </c>
      <c r="DE95" s="39">
        <f>+HLOOKUP('Reporte Evolución Mensual'!$F$2-1,$CR$2:$DC$251, Input!$DG95, FALSE)</f>
        <v>0</v>
      </c>
      <c r="DF95" s="39">
        <f>+HLOOKUP('Reporte Evolución Mensual'!$F$2,$CR$2:$DC$371, Input!$DG95, FALSE)</f>
        <v>0</v>
      </c>
      <c r="DG95" s="40">
        <f t="shared" si="160"/>
        <v>95</v>
      </c>
      <c r="DH95" s="39"/>
      <c r="DI95" s="39"/>
      <c r="DJ95" s="39"/>
      <c r="DK95" s="39"/>
      <c r="DL95" s="39"/>
      <c r="DM95" s="39"/>
      <c r="DN95" s="39"/>
      <c r="DO95" s="58"/>
      <c r="DP95" s="58"/>
      <c r="DQ95" s="58"/>
      <c r="DR95" s="58"/>
      <c r="DS95" s="41"/>
      <c r="DT95" s="41"/>
      <c r="DU95" s="1"/>
      <c r="DV95" s="345"/>
    </row>
    <row r="96" spans="1:126" ht="15" customHeight="1" x14ac:dyDescent="0.3">
      <c r="A96" s="1" t="str">
        <f t="shared" si="137"/>
        <v>ADIFSE</v>
      </c>
      <c r="B96" s="1" t="str">
        <f t="shared" si="138"/>
        <v>ADIFSE</v>
      </c>
      <c r="C96" s="1" t="str">
        <f t="shared" si="139"/>
        <v>MAY</v>
      </c>
      <c r="D96" s="1" t="s">
        <v>108</v>
      </c>
      <c r="E96" s="64" t="s">
        <v>259</v>
      </c>
      <c r="F96" s="87"/>
      <c r="G96" s="16"/>
      <c r="H96" s="7"/>
      <c r="I96" s="7"/>
      <c r="J96" s="7"/>
      <c r="K96" s="48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/>
      <c r="CE96" s="46"/>
      <c r="CF96" s="46"/>
      <c r="CG96" s="46"/>
      <c r="CH96" s="46"/>
      <c r="CI96" s="46"/>
      <c r="CJ96" s="46"/>
      <c r="CK96" s="46"/>
      <c r="CL96" s="67"/>
      <c r="CM96" s="67"/>
      <c r="CN96" s="67"/>
      <c r="CO96" s="67"/>
      <c r="CP96" s="67"/>
      <c r="CQ96" s="67"/>
      <c r="CR96" s="37"/>
      <c r="CS96" s="39"/>
      <c r="CT96" s="53"/>
      <c r="CU96" s="39"/>
      <c r="CV96" s="39"/>
      <c r="CW96" s="39"/>
      <c r="CX96" s="39"/>
      <c r="CY96" s="39"/>
      <c r="CZ96" s="39"/>
      <c r="DA96" s="39"/>
      <c r="DB96" s="39"/>
      <c r="DC96" s="39"/>
      <c r="DD96" s="39">
        <f>+HLOOKUP('Reporte Evolución Mensual'!$F$2-2,$CR$2:$DC$251, Input!$DG96, FALSE)</f>
        <v>10606121.666666666</v>
      </c>
      <c r="DE96" s="39">
        <f>+HLOOKUP('Reporte Evolución Mensual'!$F$2-1,$CR$2:$DC$251, Input!$DG96, FALSE)</f>
        <v>141739305.44513953</v>
      </c>
      <c r="DF96" s="39">
        <f>+HLOOKUP('Reporte Evolución Mensual'!$F$2,$CR$2:$DC$371, Input!$DG96, FALSE)</f>
        <v>15142832.651625</v>
      </c>
      <c r="DG96" s="40">
        <f t="shared" si="160"/>
        <v>96</v>
      </c>
      <c r="DH96" s="39"/>
      <c r="DI96" s="39"/>
      <c r="DJ96" s="39"/>
      <c r="DK96" s="39"/>
      <c r="DL96" s="39"/>
      <c r="DM96" s="39"/>
      <c r="DN96" s="39"/>
      <c r="DO96" s="58"/>
      <c r="DP96" s="58"/>
      <c r="DQ96" s="58"/>
      <c r="DR96" s="58"/>
      <c r="DS96" s="41"/>
      <c r="DT96" s="41"/>
      <c r="DU96" s="1"/>
      <c r="DV96" s="345"/>
    </row>
    <row r="97" spans="1:126" ht="15" customHeight="1" x14ac:dyDescent="0.3">
      <c r="A97" s="1" t="str">
        <f t="shared" si="137"/>
        <v>ADIFSE</v>
      </c>
      <c r="B97" s="1" t="str">
        <f t="shared" si="138"/>
        <v>ADIFSE</v>
      </c>
      <c r="C97" s="1" t="str">
        <f t="shared" si="139"/>
        <v>MAY</v>
      </c>
      <c r="D97" s="75" t="s">
        <v>163</v>
      </c>
      <c r="E97" s="69" t="str">
        <f>CONCATENATE(H97," - ",I97)</f>
        <v>Incremento de Activos Financieros - Caja y Bancos</v>
      </c>
      <c r="F97" s="72">
        <v>65</v>
      </c>
      <c r="G97" s="16" t="s">
        <v>259</v>
      </c>
      <c r="H97" s="7" t="s">
        <v>260</v>
      </c>
      <c r="I97" s="7" t="s">
        <v>450</v>
      </c>
      <c r="J97" s="7" t="s">
        <v>166</v>
      </c>
      <c r="K97" s="88">
        <f>+IF((SUM(K$23:K$28)+K$20-K$64-K$94-SUM(K$99:K$102)-K104)&gt;0,(SUM(K$23:K$28)+K$20-K$64-K$94-SUM(K$99:K$102)-K104),0)</f>
        <v>0</v>
      </c>
      <c r="L97" s="51"/>
      <c r="M97" s="51"/>
      <c r="N97" s="51"/>
      <c r="O97" s="51"/>
      <c r="P97" s="51"/>
      <c r="Q97" s="67">
        <f t="shared" si="165"/>
        <v>0</v>
      </c>
      <c r="R97" s="38">
        <f t="shared" ref="R97:CC97" si="199">+IF((SUM(R$23:R$28)+R$20-R$64-R$94-SUM(R$99:R$102)-R104)&gt;0,(SUM(R$23:R$28)+R$20-R$64-R$94-SUM(R$99:R$102)-R104),0)</f>
        <v>0</v>
      </c>
      <c r="S97" s="38">
        <f t="shared" si="199"/>
        <v>0</v>
      </c>
      <c r="T97" s="38">
        <f t="shared" si="199"/>
        <v>0</v>
      </c>
      <c r="U97" s="38">
        <f t="shared" si="199"/>
        <v>0</v>
      </c>
      <c r="V97" s="38">
        <f t="shared" si="199"/>
        <v>0</v>
      </c>
      <c r="W97" s="71">
        <f>+SUM(R97:V97)</f>
        <v>0</v>
      </c>
      <c r="X97" s="38">
        <f t="shared" si="199"/>
        <v>0</v>
      </c>
      <c r="Y97" s="38">
        <f>+IF((SUM(Y$23:Y$28)+Y$20-Y$64-Y$94-SUM(Y$99:Y$102)-Y104)&gt;0,(SUM(Y$23:Y$28)+Y$20-Y$64-Y$94-SUM(Y$99:Y$102)-Y104),0)</f>
        <v>0</v>
      </c>
      <c r="Z97" s="38">
        <f t="shared" si="199"/>
        <v>0</v>
      </c>
      <c r="AA97" s="38">
        <f t="shared" si="199"/>
        <v>0</v>
      </c>
      <c r="AB97" s="38">
        <f t="shared" si="199"/>
        <v>0</v>
      </c>
      <c r="AC97" s="71">
        <f t="shared" ref="AC97" si="200">+SUM(X97:AB97)</f>
        <v>0</v>
      </c>
      <c r="AD97" s="38">
        <f t="shared" si="199"/>
        <v>0</v>
      </c>
      <c r="AE97" s="38">
        <f t="shared" si="199"/>
        <v>10606121.666666666</v>
      </c>
      <c r="AF97" s="38">
        <f t="shared" si="199"/>
        <v>0</v>
      </c>
      <c r="AG97" s="38">
        <f t="shared" si="199"/>
        <v>0</v>
      </c>
      <c r="AH97" s="38">
        <f t="shared" si="199"/>
        <v>0</v>
      </c>
      <c r="AI97" s="71">
        <f t="shared" ref="AI97" si="201">+SUM(AD97:AH97)</f>
        <v>10606121.666666666</v>
      </c>
      <c r="AJ97" s="38">
        <f t="shared" si="199"/>
        <v>124665480.32684785</v>
      </c>
      <c r="AK97" s="38">
        <f t="shared" si="199"/>
        <v>17073825.118291669</v>
      </c>
      <c r="AL97" s="38">
        <f t="shared" si="199"/>
        <v>0</v>
      </c>
      <c r="AM97" s="38">
        <f t="shared" si="199"/>
        <v>0</v>
      </c>
      <c r="AN97" s="38">
        <f t="shared" si="199"/>
        <v>0</v>
      </c>
      <c r="AO97" s="71">
        <f t="shared" ref="AO97" si="202">+SUM(AJ97:AN97)</f>
        <v>141739305.44513953</v>
      </c>
      <c r="AP97" s="38">
        <f t="shared" si="199"/>
        <v>0</v>
      </c>
      <c r="AQ97" s="38">
        <f t="shared" si="199"/>
        <v>15142832.651625</v>
      </c>
      <c r="AR97" s="38">
        <f t="shared" si="199"/>
        <v>0</v>
      </c>
      <c r="AS97" s="38">
        <f t="shared" si="199"/>
        <v>0</v>
      </c>
      <c r="AT97" s="38">
        <f t="shared" si="199"/>
        <v>0</v>
      </c>
      <c r="AU97" s="71">
        <f t="shared" ref="AU97" si="203">+SUM(AP97:AT97)</f>
        <v>15142832.651625</v>
      </c>
      <c r="AV97" s="38">
        <f t="shared" si="199"/>
        <v>0</v>
      </c>
      <c r="AW97" s="38">
        <f t="shared" si="199"/>
        <v>7990453.4516249998</v>
      </c>
      <c r="AX97" s="38">
        <f t="shared" si="199"/>
        <v>0</v>
      </c>
      <c r="AY97" s="38">
        <f t="shared" si="199"/>
        <v>0</v>
      </c>
      <c r="AZ97" s="38">
        <f t="shared" si="199"/>
        <v>0</v>
      </c>
      <c r="BA97" s="71">
        <f t="shared" ref="BA97" si="204">+SUM(AV97:AZ97)</f>
        <v>7990453.4516249998</v>
      </c>
      <c r="BB97" s="38">
        <f t="shared" si="199"/>
        <v>0</v>
      </c>
      <c r="BC97" s="38">
        <f t="shared" si="199"/>
        <v>7990453.4516249895</v>
      </c>
      <c r="BD97" s="38">
        <f t="shared" si="199"/>
        <v>0</v>
      </c>
      <c r="BE97" s="38">
        <f t="shared" si="199"/>
        <v>0</v>
      </c>
      <c r="BF97" s="38">
        <f t="shared" si="199"/>
        <v>0</v>
      </c>
      <c r="BG97" s="71">
        <f t="shared" ref="BG97" si="205">+SUM(BB97:BF97)</f>
        <v>7990453.4516249895</v>
      </c>
      <c r="BH97" s="38">
        <f t="shared" si="199"/>
        <v>0</v>
      </c>
      <c r="BI97" s="38">
        <f t="shared" si="199"/>
        <v>148936853.45162499</v>
      </c>
      <c r="BJ97" s="38">
        <f t="shared" si="199"/>
        <v>0</v>
      </c>
      <c r="BK97" s="38">
        <f t="shared" si="199"/>
        <v>0</v>
      </c>
      <c r="BL97" s="38">
        <f t="shared" si="199"/>
        <v>0</v>
      </c>
      <c r="BM97" s="71">
        <f t="shared" ref="BM97" si="206">+SUM(BH97:BL97)</f>
        <v>148936853.45162499</v>
      </c>
      <c r="BN97" s="38">
        <f t="shared" si="199"/>
        <v>0</v>
      </c>
      <c r="BO97" s="38">
        <f t="shared" si="199"/>
        <v>16411149.984999999</v>
      </c>
      <c r="BP97" s="38">
        <f t="shared" si="199"/>
        <v>0</v>
      </c>
      <c r="BQ97" s="38">
        <f t="shared" si="199"/>
        <v>0</v>
      </c>
      <c r="BR97" s="38">
        <f t="shared" si="199"/>
        <v>0</v>
      </c>
      <c r="BS97" s="71">
        <f t="shared" ref="BS97" si="207">+SUM(BN97:BR97)</f>
        <v>16411149.984999999</v>
      </c>
      <c r="BT97" s="38">
        <f t="shared" si="199"/>
        <v>0</v>
      </c>
      <c r="BU97" s="38">
        <f t="shared" si="199"/>
        <v>10894847.35</v>
      </c>
      <c r="BV97" s="38">
        <f t="shared" si="199"/>
        <v>0</v>
      </c>
      <c r="BW97" s="38">
        <f t="shared" si="199"/>
        <v>0</v>
      </c>
      <c r="BX97" s="38">
        <f t="shared" si="199"/>
        <v>0</v>
      </c>
      <c r="BY97" s="71">
        <f t="shared" ref="BY97" si="208">+SUM(BT97:BX97)</f>
        <v>10894847.35</v>
      </c>
      <c r="BZ97" s="38">
        <f t="shared" si="199"/>
        <v>0</v>
      </c>
      <c r="CA97" s="38">
        <f t="shared" si="199"/>
        <v>16066952.449999999</v>
      </c>
      <c r="CB97" s="38">
        <f t="shared" si="199"/>
        <v>0</v>
      </c>
      <c r="CC97" s="38">
        <f t="shared" si="199"/>
        <v>0</v>
      </c>
      <c r="CD97" s="38">
        <f t="shared" ref="CD97:CJ97" si="209">+IF((SUM(CD$23:CD$28)+CD$20-CD$64-CD$94-SUM(CD$99:CD$102)-CD104)&gt;0,(SUM(CD$23:CD$28)+CD$20-CD$64-CD$94-SUM(CD$99:CD$102)-CD104),0)</f>
        <v>0</v>
      </c>
      <c r="CE97" s="71">
        <f t="shared" ref="CE97" si="210">+SUM(BZ97:CD97)</f>
        <v>16066952.449999999</v>
      </c>
      <c r="CF97" s="38">
        <f t="shared" si="209"/>
        <v>0</v>
      </c>
      <c r="CG97" s="38">
        <f t="shared" si="209"/>
        <v>4305900</v>
      </c>
      <c r="CH97" s="38">
        <f t="shared" si="209"/>
        <v>0</v>
      </c>
      <c r="CI97" s="38">
        <f t="shared" si="209"/>
        <v>0</v>
      </c>
      <c r="CJ97" s="38">
        <f t="shared" si="209"/>
        <v>0</v>
      </c>
      <c r="CK97" s="71">
        <f t="shared" ref="CK97" si="211">+SUM(CF97:CJ97)</f>
        <v>4305900</v>
      </c>
      <c r="CL97" s="67">
        <f t="shared" si="146"/>
        <v>124665480.32684785</v>
      </c>
      <c r="CM97" s="67">
        <f t="shared" si="146"/>
        <v>255419389.57645831</v>
      </c>
      <c r="CN97" s="67">
        <f t="shared" si="146"/>
        <v>0</v>
      </c>
      <c r="CO97" s="67">
        <f t="shared" si="141"/>
        <v>0</v>
      </c>
      <c r="CP97" s="67">
        <f t="shared" si="141"/>
        <v>0</v>
      </c>
      <c r="CQ97" s="67">
        <f t="shared" si="141"/>
        <v>380084869.90330619</v>
      </c>
      <c r="CR97" s="37">
        <f t="shared" ref="CR97:CR129" si="212">+W97</f>
        <v>0</v>
      </c>
      <c r="CS97" s="39">
        <f t="shared" si="89"/>
        <v>0</v>
      </c>
      <c r="CT97" s="53">
        <f t="shared" si="90"/>
        <v>10606121.666666666</v>
      </c>
      <c r="CU97" s="39">
        <f t="shared" si="91"/>
        <v>141739305.44513953</v>
      </c>
      <c r="CV97" s="39">
        <f t="shared" si="92"/>
        <v>15142832.651625</v>
      </c>
      <c r="CW97" s="39">
        <f t="shared" si="93"/>
        <v>7990453.4516249998</v>
      </c>
      <c r="CX97" s="39">
        <f t="shared" si="94"/>
        <v>7990453.4516249895</v>
      </c>
      <c r="CY97" s="39">
        <f t="shared" si="95"/>
        <v>148936853.45162499</v>
      </c>
      <c r="CZ97" s="39">
        <f t="shared" si="96"/>
        <v>16411149.984999999</v>
      </c>
      <c r="DA97" s="39">
        <f t="shared" si="97"/>
        <v>10894847.35</v>
      </c>
      <c r="DB97" s="39">
        <f t="shared" si="98"/>
        <v>16066952.449999999</v>
      </c>
      <c r="DC97" s="39">
        <f t="shared" si="99"/>
        <v>4305900</v>
      </c>
      <c r="DD97" s="39">
        <f>+HLOOKUP('Reporte Evolución Mensual'!$F$2-2,$CR$2:$DC$251, Input!$DG97, FALSE)</f>
        <v>0</v>
      </c>
      <c r="DE97" s="39">
        <f>+HLOOKUP('Reporte Evolución Mensual'!$F$2-1,$CR$2:$DC$251, Input!$DG97, FALSE)</f>
        <v>0</v>
      </c>
      <c r="DF97" s="39">
        <f>+HLOOKUP('Reporte Evolución Mensual'!$F$2,$CR$2:$DC$371, Input!$DG97, FALSE)</f>
        <v>0</v>
      </c>
      <c r="DG97" s="40">
        <f t="shared" si="160"/>
        <v>97</v>
      </c>
      <c r="DH97" s="37"/>
      <c r="DI97" s="37">
        <f t="shared" ref="DI97:DI105" si="213">+CR97</f>
        <v>0</v>
      </c>
      <c r="DJ97" s="37">
        <f t="shared" ref="DJ97:DT105" si="214">+DI97+CS97</f>
        <v>0</v>
      </c>
      <c r="DK97" s="37">
        <f t="shared" si="214"/>
        <v>10606121.666666666</v>
      </c>
      <c r="DL97" s="37">
        <f t="shared" si="214"/>
        <v>152345427.11180618</v>
      </c>
      <c r="DM97" s="37">
        <f t="shared" si="214"/>
        <v>167488259.76343119</v>
      </c>
      <c r="DN97" s="37">
        <f t="shared" si="214"/>
        <v>175478713.21505618</v>
      </c>
      <c r="DO97" s="37">
        <f t="shared" si="214"/>
        <v>183469166.66668117</v>
      </c>
      <c r="DP97" s="37">
        <f t="shared" si="214"/>
        <v>332406020.11830616</v>
      </c>
      <c r="DQ97" s="37">
        <f t="shared" si="214"/>
        <v>348817170.10330617</v>
      </c>
      <c r="DR97" s="37">
        <f t="shared" si="214"/>
        <v>359712017.4533062</v>
      </c>
      <c r="DS97" s="37">
        <f t="shared" si="214"/>
        <v>375778969.90330619</v>
      </c>
      <c r="DT97" s="37">
        <f t="shared" si="214"/>
        <v>380084869.90330619</v>
      </c>
      <c r="DU97" s="1"/>
      <c r="DV97" s="345" t="s">
        <v>163</v>
      </c>
    </row>
    <row r="98" spans="1:126" s="318" customFormat="1" ht="15" customHeight="1" x14ac:dyDescent="0.3">
      <c r="A98" s="16" t="str">
        <f t="shared" si="137"/>
        <v>ADIFSE</v>
      </c>
      <c r="B98" s="16" t="str">
        <f t="shared" si="138"/>
        <v>ADIFSE</v>
      </c>
      <c r="C98" s="16" t="str">
        <f t="shared" si="139"/>
        <v>MAY</v>
      </c>
      <c r="D98" s="75" t="s">
        <v>163</v>
      </c>
      <c r="E98" s="69" t="str">
        <f>CONCATENATE(H98," - ",I98)</f>
        <v>Incremento de Activos Financieros - Inversiones Financieras Temporarias</v>
      </c>
      <c r="F98" s="72">
        <v>65</v>
      </c>
      <c r="G98" s="16" t="s">
        <v>259</v>
      </c>
      <c r="H98" s="7" t="s">
        <v>260</v>
      </c>
      <c r="I98" s="7" t="s">
        <v>452</v>
      </c>
      <c r="J98" s="7" t="s">
        <v>166</v>
      </c>
      <c r="K98" s="88"/>
      <c r="L98" s="51"/>
      <c r="M98" s="38"/>
      <c r="N98" s="38"/>
      <c r="O98" s="38"/>
      <c r="P98" s="38"/>
      <c r="Q98" s="67">
        <f t="shared" si="165"/>
        <v>0</v>
      </c>
      <c r="R98" s="38"/>
      <c r="S98" s="38"/>
      <c r="T98" s="38"/>
      <c r="U98" s="38"/>
      <c r="V98" s="38"/>
      <c r="W98" s="71">
        <f>+SUM(R98:V98)</f>
        <v>0</v>
      </c>
      <c r="X98" s="38"/>
      <c r="Y98" s="38"/>
      <c r="Z98" s="38"/>
      <c r="AA98" s="38"/>
      <c r="AB98" s="38"/>
      <c r="AC98" s="71">
        <f>+SUM(X98:AB98)</f>
        <v>0</v>
      </c>
      <c r="AD98" s="38"/>
      <c r="AE98" s="38"/>
      <c r="AF98" s="38"/>
      <c r="AG98" s="38"/>
      <c r="AH98" s="38"/>
      <c r="AI98" s="71">
        <f>+SUM(AD98:AH98)</f>
        <v>0</v>
      </c>
      <c r="AJ98" s="38"/>
      <c r="AK98" s="38"/>
      <c r="AL98" s="38"/>
      <c r="AM98" s="38"/>
      <c r="AN98" s="38"/>
      <c r="AO98" s="71">
        <f>+SUM(AJ98:AN98)</f>
        <v>0</v>
      </c>
      <c r="AP98" s="38"/>
      <c r="AQ98" s="38"/>
      <c r="AR98" s="38"/>
      <c r="AS98" s="38"/>
      <c r="AT98" s="38"/>
      <c r="AU98" s="71">
        <f>+SUM(AP98:AT98)</f>
        <v>0</v>
      </c>
      <c r="AV98" s="38"/>
      <c r="AW98" s="38"/>
      <c r="AX98" s="38"/>
      <c r="AY98" s="38"/>
      <c r="AZ98" s="38"/>
      <c r="BA98" s="71">
        <f>+SUM(AV98:AZ98)</f>
        <v>0</v>
      </c>
      <c r="BB98" s="38"/>
      <c r="BC98" s="38"/>
      <c r="BD98" s="38"/>
      <c r="BE98" s="38"/>
      <c r="BF98" s="38"/>
      <c r="BG98" s="71">
        <f>+SUM(BB98:BF98)</f>
        <v>0</v>
      </c>
      <c r="BH98" s="38"/>
      <c r="BI98" s="38"/>
      <c r="BJ98" s="38"/>
      <c r="BK98" s="38"/>
      <c r="BL98" s="38"/>
      <c r="BM98" s="71">
        <f>+SUM(BH98:BL98)</f>
        <v>0</v>
      </c>
      <c r="BN98" s="38"/>
      <c r="BO98" s="38"/>
      <c r="BP98" s="38"/>
      <c r="BQ98" s="38"/>
      <c r="BR98" s="38"/>
      <c r="BS98" s="71">
        <f>+SUM(BN98:BR98)</f>
        <v>0</v>
      </c>
      <c r="BT98" s="38"/>
      <c r="BU98" s="38"/>
      <c r="BV98" s="38"/>
      <c r="BW98" s="38"/>
      <c r="BX98" s="38"/>
      <c r="BY98" s="71">
        <f>+SUM(BT98:BX98)</f>
        <v>0</v>
      </c>
      <c r="BZ98" s="38"/>
      <c r="CA98" s="38"/>
      <c r="CB98" s="38"/>
      <c r="CC98" s="38"/>
      <c r="CD98" s="38"/>
      <c r="CE98" s="71">
        <f>+SUM(BZ98:CD98)</f>
        <v>0</v>
      </c>
      <c r="CF98" s="38"/>
      <c r="CG98" s="38"/>
      <c r="CH98" s="38"/>
      <c r="CI98" s="38"/>
      <c r="CJ98" s="38"/>
      <c r="CK98" s="71">
        <f>+SUM(CF98:CJ98)</f>
        <v>0</v>
      </c>
      <c r="CL98" s="67"/>
      <c r="CM98" s="67">
        <f t="shared" si="146"/>
        <v>0</v>
      </c>
      <c r="CN98" s="67">
        <f t="shared" ref="CN98" si="215">+T98+Z98+AF98+AL98+AR98+AX98+BD98+BJ98+BP98+BV98+CB98+CH98</f>
        <v>0</v>
      </c>
      <c r="CO98" s="67">
        <f t="shared" ref="CO98" si="216">+U98+AA98+AG98+AM98+AS98+AY98+BE98+BK98+BQ98+BW98+CC98+CI98</f>
        <v>0</v>
      </c>
      <c r="CP98" s="67">
        <f t="shared" ref="CP98" si="217">+V98+AB98+AH98+AN98+AT98+AZ98+BF98+BL98+BR98+BX98+CD98+CJ98</f>
        <v>0</v>
      </c>
      <c r="CQ98" s="67">
        <f t="shared" ref="CQ98" si="218">+W98+AC98+AI98+AO98+AU98+BA98+BG98+BM98+BS98+BY98+CE98+CK98</f>
        <v>0</v>
      </c>
      <c r="CR98" s="37">
        <f t="shared" ref="CR98" si="219">+W98</f>
        <v>0</v>
      </c>
      <c r="CS98" s="37">
        <f t="shared" ref="CS98" si="220">+AC98</f>
        <v>0</v>
      </c>
      <c r="CT98" s="38">
        <f t="shared" ref="CT98" si="221">+AI98</f>
        <v>0</v>
      </c>
      <c r="CU98" s="37">
        <f t="shared" ref="CU98" si="222">+AO98</f>
        <v>0</v>
      </c>
      <c r="CV98" s="37">
        <f t="shared" ref="CV98" si="223">+AU98</f>
        <v>0</v>
      </c>
      <c r="CW98" s="37">
        <f t="shared" ref="CW98" si="224">+BA98</f>
        <v>0</v>
      </c>
      <c r="CX98" s="37">
        <f t="shared" ref="CX98" si="225">+BG98</f>
        <v>0</v>
      </c>
      <c r="CY98" s="37">
        <f t="shared" ref="CY98" si="226">+BM98</f>
        <v>0</v>
      </c>
      <c r="CZ98" s="37">
        <f t="shared" ref="CZ98" si="227">+BS98</f>
        <v>0</v>
      </c>
      <c r="DA98" s="37">
        <f t="shared" ref="DA98" si="228">+BY98</f>
        <v>0</v>
      </c>
      <c r="DB98" s="37">
        <f t="shared" ref="DB98" si="229">+CE98</f>
        <v>0</v>
      </c>
      <c r="DC98" s="37">
        <f t="shared" ref="DC98" si="230">+CK98</f>
        <v>0</v>
      </c>
      <c r="DD98" s="37">
        <f>+HLOOKUP('Reporte Evolución Mensual'!$F$2-2,$CR$2:$DC$251, Input!$DG98, FALSE)</f>
        <v>4830000.0000000019</v>
      </c>
      <c r="DE98" s="37">
        <f>+HLOOKUP('Reporte Evolución Mensual'!$F$2-1,$CR$2:$DC$251, Input!$DG98, FALSE)</f>
        <v>-32992.466666668653</v>
      </c>
      <c r="DF98" s="39">
        <f>+HLOOKUP('Reporte Evolución Mensual'!$F$2,$CR$2:$DC$371, Input!$DG98, FALSE)</f>
        <v>7618745.2750000022</v>
      </c>
      <c r="DG98" s="317">
        <f t="shared" si="160"/>
        <v>98</v>
      </c>
      <c r="DH98" s="37"/>
      <c r="DI98" s="37"/>
      <c r="DJ98" s="37"/>
      <c r="DK98" s="37"/>
      <c r="DL98" s="37"/>
      <c r="DM98" s="37"/>
      <c r="DN98" s="37"/>
      <c r="DO98" s="37"/>
      <c r="DP98" s="37"/>
      <c r="DQ98" s="37"/>
      <c r="DR98" s="37"/>
      <c r="DS98" s="37"/>
      <c r="DT98" s="37"/>
      <c r="DU98" s="1"/>
      <c r="DV98" s="345" t="s">
        <v>163</v>
      </c>
    </row>
    <row r="99" spans="1:126" ht="15" customHeight="1" x14ac:dyDescent="0.3">
      <c r="A99" s="1" t="str">
        <f t="shared" si="137"/>
        <v>ADIFSE</v>
      </c>
      <c r="B99" s="1" t="str">
        <f t="shared" si="138"/>
        <v>ADIFSE</v>
      </c>
      <c r="C99" s="1" t="str">
        <f t="shared" si="139"/>
        <v>MAY</v>
      </c>
      <c r="D99" s="41" t="s">
        <v>163</v>
      </c>
      <c r="E99" s="69" t="str">
        <f>CONCATENATE(H99," - ",I99)</f>
        <v>Incremento de Activos Financieros - Cuentas a Cobrar</v>
      </c>
      <c r="F99" s="73">
        <v>66</v>
      </c>
      <c r="G99" s="16" t="s">
        <v>259</v>
      </c>
      <c r="H99" s="7" t="s">
        <v>260</v>
      </c>
      <c r="I99" s="7" t="s">
        <v>261</v>
      </c>
      <c r="J99" s="7" t="s">
        <v>166</v>
      </c>
      <c r="K99" s="51"/>
      <c r="L99" s="51"/>
      <c r="M99" s="51"/>
      <c r="N99" s="51"/>
      <c r="O99" s="51"/>
      <c r="P99" s="51"/>
      <c r="Q99" s="67">
        <f t="shared" si="165"/>
        <v>0</v>
      </c>
      <c r="R99" s="51"/>
      <c r="S99" s="51"/>
      <c r="T99" s="51"/>
      <c r="U99" s="51"/>
      <c r="V99" s="51"/>
      <c r="W99" s="68">
        <f t="shared" si="166"/>
        <v>0</v>
      </c>
      <c r="X99" s="51"/>
      <c r="Y99" s="51">
        <f>+Y15</f>
        <v>4606121.666666666</v>
      </c>
      <c r="Z99" s="51"/>
      <c r="AA99" s="51"/>
      <c r="AB99" s="51"/>
      <c r="AC99" s="68">
        <f t="shared" si="167"/>
        <v>4606121.666666666</v>
      </c>
      <c r="AD99" s="51"/>
      <c r="AE99" s="51">
        <f>-Y99+AE15</f>
        <v>4830000.0000000019</v>
      </c>
      <c r="AF99" s="51"/>
      <c r="AG99" s="51"/>
      <c r="AH99" s="51"/>
      <c r="AI99" s="68">
        <f t="shared" si="168"/>
        <v>4830000.0000000019</v>
      </c>
      <c r="AJ99" s="51"/>
      <c r="AK99" s="51">
        <f>+AK15-AE15</f>
        <v>-32992.466666668653</v>
      </c>
      <c r="AL99" s="51"/>
      <c r="AM99" s="51"/>
      <c r="AN99" s="51"/>
      <c r="AO99" s="68">
        <f t="shared" ref="AO99:AO104" si="231">SUM(AJ99:AN99)</f>
        <v>-32992.466666668653</v>
      </c>
      <c r="AP99" s="51"/>
      <c r="AQ99" s="51">
        <f>+AQ15-AK15</f>
        <v>7618745.2750000022</v>
      </c>
      <c r="AR99" s="51"/>
      <c r="AS99" s="51"/>
      <c r="AT99" s="51"/>
      <c r="AU99" s="68">
        <f t="shared" ref="AU99:AU104" si="232">SUM(AP99:AT99)</f>
        <v>7618745.2750000022</v>
      </c>
      <c r="AV99" s="51"/>
      <c r="AW99" s="51"/>
      <c r="AX99" s="51"/>
      <c r="AY99" s="51"/>
      <c r="AZ99" s="51"/>
      <c r="BA99" s="68">
        <f t="shared" ref="BA99:BA104" si="233">SUM(AV99:AZ99)</f>
        <v>0</v>
      </c>
      <c r="BB99" s="51"/>
      <c r="BC99" s="51">
        <f>+BC15-AW15</f>
        <v>139946400</v>
      </c>
      <c r="BD99" s="51"/>
      <c r="BE99" s="51"/>
      <c r="BF99" s="51"/>
      <c r="BG99" s="68">
        <f t="shared" ref="BG99:BG104" si="234">SUM(BB99:BF99)</f>
        <v>139946400</v>
      </c>
      <c r="BH99" s="51"/>
      <c r="BI99" s="51">
        <f>+BI15-BC15</f>
        <v>-132052225.625</v>
      </c>
      <c r="BJ99" s="51"/>
      <c r="BK99" s="51"/>
      <c r="BL99" s="51"/>
      <c r="BM99" s="68">
        <f t="shared" ref="BM99:BM104" si="235">SUM(BH99:BL99)</f>
        <v>-132052225.625</v>
      </c>
      <c r="BN99" s="51"/>
      <c r="BO99" s="51">
        <f>+BO15-BI15</f>
        <v>-2350077.0250000004</v>
      </c>
      <c r="BP99" s="51"/>
      <c r="BQ99" s="51"/>
      <c r="BR99" s="51"/>
      <c r="BS99" s="68">
        <f t="shared" ref="BS99:BS104" si="236">SUM(BN99:BR99)</f>
        <v>-2350077.0250000004</v>
      </c>
      <c r="BT99" s="51"/>
      <c r="BU99" s="51">
        <f>+BU15-BO15</f>
        <v>8272105.0999999996</v>
      </c>
      <c r="BV99" s="51"/>
      <c r="BW99" s="51"/>
      <c r="BX99" s="51"/>
      <c r="BY99" s="68">
        <f t="shared" ref="BY99:BY104" si="237">SUM(BT99:BX99)</f>
        <v>8272105.0999999996</v>
      </c>
      <c r="BZ99" s="51"/>
      <c r="CA99" s="51">
        <f>+CA15-BU15</f>
        <v>-11761052.449999999</v>
      </c>
      <c r="CB99" s="51"/>
      <c r="CC99" s="51"/>
      <c r="CD99" s="51"/>
      <c r="CE99" s="68">
        <f t="shared" ref="CE99:CE104" si="238">SUM(BZ99:CD99)</f>
        <v>-11761052.449999999</v>
      </c>
      <c r="CF99" s="51"/>
      <c r="CG99" s="51">
        <f>+CG15-CA15</f>
        <v>189250</v>
      </c>
      <c r="CH99" s="51"/>
      <c r="CI99" s="51"/>
      <c r="CJ99" s="51"/>
      <c r="CK99" s="68">
        <f t="shared" ref="CK99:CK104" si="239">SUM(CF99:CJ99)</f>
        <v>189250</v>
      </c>
      <c r="CL99" s="67">
        <f t="shared" si="146"/>
        <v>0</v>
      </c>
      <c r="CM99" s="67">
        <f t="shared" si="146"/>
        <v>19266274.474999998</v>
      </c>
      <c r="CN99" s="67">
        <f t="shared" si="146"/>
        <v>0</v>
      </c>
      <c r="CO99" s="67">
        <f t="shared" si="141"/>
        <v>0</v>
      </c>
      <c r="CP99" s="67">
        <f t="shared" si="141"/>
        <v>0</v>
      </c>
      <c r="CQ99" s="67">
        <f t="shared" si="141"/>
        <v>19266274.474999998</v>
      </c>
      <c r="CR99" s="37">
        <f t="shared" si="212"/>
        <v>0</v>
      </c>
      <c r="CS99" s="39">
        <f t="shared" si="89"/>
        <v>4606121.666666666</v>
      </c>
      <c r="CT99" s="53">
        <f t="shared" si="90"/>
        <v>4830000.0000000019</v>
      </c>
      <c r="CU99" s="39">
        <f t="shared" si="91"/>
        <v>-32992.466666668653</v>
      </c>
      <c r="CV99" s="39">
        <f t="shared" si="92"/>
        <v>7618745.2750000022</v>
      </c>
      <c r="CW99" s="39">
        <f t="shared" si="93"/>
        <v>0</v>
      </c>
      <c r="CX99" s="39">
        <f t="shared" si="94"/>
        <v>139946400</v>
      </c>
      <c r="CY99" s="39">
        <f t="shared" si="95"/>
        <v>-132052225.625</v>
      </c>
      <c r="CZ99" s="39">
        <f t="shared" si="96"/>
        <v>-2350077.0250000004</v>
      </c>
      <c r="DA99" s="39">
        <f t="shared" si="97"/>
        <v>8272105.0999999996</v>
      </c>
      <c r="DB99" s="39">
        <f t="shared" si="98"/>
        <v>-11761052.449999999</v>
      </c>
      <c r="DC99" s="39">
        <f t="shared" si="99"/>
        <v>189250</v>
      </c>
      <c r="DD99" s="39">
        <f>+HLOOKUP('Reporte Evolución Mensual'!$F$2-2,$CR$2:$DC$251, Input!$DG99, FALSE)</f>
        <v>0</v>
      </c>
      <c r="DE99" s="39">
        <f>+HLOOKUP('Reporte Evolución Mensual'!$F$2-1,$CR$2:$DC$251, Input!$DG99, FALSE)</f>
        <v>0</v>
      </c>
      <c r="DF99" s="39">
        <f>+HLOOKUP('Reporte Evolución Mensual'!$F$2,$CR$2:$DC$371, Input!$DG99, FALSE)</f>
        <v>0</v>
      </c>
      <c r="DG99" s="40">
        <f t="shared" si="160"/>
        <v>99</v>
      </c>
      <c r="DH99" s="39"/>
      <c r="DI99" s="37">
        <f t="shared" si="213"/>
        <v>0</v>
      </c>
      <c r="DJ99" s="37">
        <f t="shared" si="214"/>
        <v>4606121.666666666</v>
      </c>
      <c r="DK99" s="37">
        <f t="shared" si="214"/>
        <v>9436121.6666666679</v>
      </c>
      <c r="DL99" s="37">
        <f t="shared" si="214"/>
        <v>9403129.1999999993</v>
      </c>
      <c r="DM99" s="37">
        <f t="shared" si="214"/>
        <v>17021874.475000001</v>
      </c>
      <c r="DN99" s="37">
        <f t="shared" si="214"/>
        <v>17021874.475000001</v>
      </c>
      <c r="DO99" s="37">
        <f t="shared" si="214"/>
        <v>156968274.47499999</v>
      </c>
      <c r="DP99" s="37">
        <f t="shared" si="214"/>
        <v>24916048.849999994</v>
      </c>
      <c r="DQ99" s="37">
        <f t="shared" si="214"/>
        <v>22565971.824999996</v>
      </c>
      <c r="DR99" s="37">
        <f t="shared" si="214"/>
        <v>30838076.924999997</v>
      </c>
      <c r="DS99" s="37">
        <f t="shared" si="214"/>
        <v>19077024.474999998</v>
      </c>
      <c r="DT99" s="37">
        <f t="shared" si="214"/>
        <v>19266274.474999998</v>
      </c>
      <c r="DU99" s="1"/>
      <c r="DV99" s="345" t="s">
        <v>163</v>
      </c>
    </row>
    <row r="100" spans="1:126" ht="15" customHeight="1" x14ac:dyDescent="0.3">
      <c r="A100" s="1" t="str">
        <f t="shared" si="137"/>
        <v>ADIFSE</v>
      </c>
      <c r="B100" s="1" t="str">
        <f t="shared" si="138"/>
        <v>ADIFSE</v>
      </c>
      <c r="C100" s="1" t="str">
        <f t="shared" si="139"/>
        <v>MAY</v>
      </c>
      <c r="D100" s="41" t="s">
        <v>163</v>
      </c>
      <c r="E100" s="69" t="str">
        <f t="shared" ref="E100:E102" si="240">CONCATENATE(H100," - ",I100)</f>
        <v>Incremento de Activos Financieros - CMEC Obras BCyL</v>
      </c>
      <c r="F100" s="73" t="s">
        <v>262</v>
      </c>
      <c r="G100" s="16" t="s">
        <v>259</v>
      </c>
      <c r="H100" s="7" t="s">
        <v>260</v>
      </c>
      <c r="I100" s="16" t="s">
        <v>263</v>
      </c>
      <c r="J100" s="7" t="s">
        <v>166</v>
      </c>
      <c r="K100" s="51"/>
      <c r="L100" s="51"/>
      <c r="M100" s="51"/>
      <c r="N100" s="51"/>
      <c r="O100" s="51"/>
      <c r="P100" s="51"/>
      <c r="Q100" s="67">
        <f t="shared" si="165"/>
        <v>0</v>
      </c>
      <c r="R100" s="51"/>
      <c r="S100" s="51"/>
      <c r="T100" s="51"/>
      <c r="U100" s="51"/>
      <c r="V100" s="51"/>
      <c r="W100" s="67">
        <f t="shared" si="166"/>
        <v>0</v>
      </c>
      <c r="X100" s="51"/>
      <c r="Y100" s="51"/>
      <c r="Z100" s="51"/>
      <c r="AA100" s="51"/>
      <c r="AB100" s="51"/>
      <c r="AC100" s="68">
        <f t="shared" si="167"/>
        <v>0</v>
      </c>
      <c r="AD100" s="51"/>
      <c r="AE100" s="51"/>
      <c r="AF100" s="51"/>
      <c r="AG100" s="51"/>
      <c r="AH100" s="51"/>
      <c r="AI100" s="68">
        <f t="shared" si="168"/>
        <v>0</v>
      </c>
      <c r="AJ100" s="51"/>
      <c r="AK100" s="51"/>
      <c r="AL100" s="51"/>
      <c r="AM100" s="51"/>
      <c r="AN100" s="51"/>
      <c r="AO100" s="68">
        <f t="shared" si="231"/>
        <v>0</v>
      </c>
      <c r="AP100" s="51"/>
      <c r="AQ100" s="51"/>
      <c r="AR100" s="51"/>
      <c r="AS100" s="51"/>
      <c r="AT100" s="51"/>
      <c r="AU100" s="68">
        <f t="shared" si="232"/>
        <v>0</v>
      </c>
      <c r="AV100" s="51"/>
      <c r="AW100" s="51"/>
      <c r="AX100" s="51"/>
      <c r="AY100" s="51"/>
      <c r="AZ100" s="51"/>
      <c r="BA100" s="68">
        <f t="shared" si="233"/>
        <v>0</v>
      </c>
      <c r="BB100" s="51"/>
      <c r="BC100" s="51"/>
      <c r="BD100" s="51"/>
      <c r="BE100" s="51"/>
      <c r="BF100" s="51"/>
      <c r="BG100" s="68">
        <f t="shared" si="234"/>
        <v>0</v>
      </c>
      <c r="BH100" s="51"/>
      <c r="BI100" s="51"/>
      <c r="BJ100" s="51"/>
      <c r="BK100" s="51"/>
      <c r="BL100" s="51"/>
      <c r="BM100" s="68">
        <f t="shared" si="235"/>
        <v>0</v>
      </c>
      <c r="BN100" s="51"/>
      <c r="BO100" s="51"/>
      <c r="BP100" s="51"/>
      <c r="BQ100" s="51"/>
      <c r="BR100" s="51"/>
      <c r="BS100" s="68">
        <f t="shared" si="236"/>
        <v>0</v>
      </c>
      <c r="BT100" s="51"/>
      <c r="BU100" s="51"/>
      <c r="BV100" s="51"/>
      <c r="BW100" s="51"/>
      <c r="BX100" s="51"/>
      <c r="BY100" s="68">
        <f t="shared" si="237"/>
        <v>0</v>
      </c>
      <c r="BZ100" s="51"/>
      <c r="CA100" s="51"/>
      <c r="CB100" s="51"/>
      <c r="CC100" s="51"/>
      <c r="CD100" s="51"/>
      <c r="CE100" s="68">
        <f t="shared" si="238"/>
        <v>0</v>
      </c>
      <c r="CF100" s="51"/>
      <c r="CG100" s="51"/>
      <c r="CH100" s="51"/>
      <c r="CI100" s="51"/>
      <c r="CJ100" s="51"/>
      <c r="CK100" s="68">
        <f t="shared" si="239"/>
        <v>0</v>
      </c>
      <c r="CL100" s="67">
        <f t="shared" si="146"/>
        <v>0</v>
      </c>
      <c r="CM100" s="67">
        <f t="shared" si="146"/>
        <v>0</v>
      </c>
      <c r="CN100" s="67">
        <f t="shared" si="146"/>
        <v>0</v>
      </c>
      <c r="CO100" s="67">
        <f t="shared" si="141"/>
        <v>0</v>
      </c>
      <c r="CP100" s="67">
        <f t="shared" si="141"/>
        <v>0</v>
      </c>
      <c r="CQ100" s="67">
        <f t="shared" si="141"/>
        <v>0</v>
      </c>
      <c r="CR100" s="37">
        <f t="shared" si="212"/>
        <v>0</v>
      </c>
      <c r="CS100" s="39">
        <f t="shared" si="89"/>
        <v>0</v>
      </c>
      <c r="CT100" s="53">
        <f t="shared" si="90"/>
        <v>0</v>
      </c>
      <c r="CU100" s="39">
        <f t="shared" si="91"/>
        <v>0</v>
      </c>
      <c r="CV100" s="39">
        <f t="shared" si="92"/>
        <v>0</v>
      </c>
      <c r="CW100" s="39">
        <f t="shared" si="93"/>
        <v>0</v>
      </c>
      <c r="CX100" s="39">
        <f t="shared" si="94"/>
        <v>0</v>
      </c>
      <c r="CY100" s="39">
        <f t="shared" si="95"/>
        <v>0</v>
      </c>
      <c r="CZ100" s="39">
        <f t="shared" si="96"/>
        <v>0</v>
      </c>
      <c r="DA100" s="39">
        <f t="shared" si="97"/>
        <v>0</v>
      </c>
      <c r="DB100" s="39">
        <f t="shared" si="98"/>
        <v>0</v>
      </c>
      <c r="DC100" s="39">
        <f t="shared" si="99"/>
        <v>0</v>
      </c>
      <c r="DD100" s="39">
        <f>+HLOOKUP('Reporte Evolución Mensual'!$F$2-2,$CR$2:$DC$251, Input!$DG100, FALSE)</f>
        <v>202202305.16324827</v>
      </c>
      <c r="DE100" s="39">
        <f>+HLOOKUP('Reporte Evolución Mensual'!$F$2-1,$CR$2:$DC$251, Input!$DG100, FALSE)</f>
        <v>281345908.58843476</v>
      </c>
      <c r="DF100" s="39">
        <f>+HLOOKUP('Reporte Evolución Mensual'!$F$2,$CR$2:$DC$371, Input!$DG100, FALSE)</f>
        <v>424850201.15031314</v>
      </c>
      <c r="DG100" s="40">
        <f t="shared" si="160"/>
        <v>100</v>
      </c>
      <c r="DH100" s="39"/>
      <c r="DI100" s="37">
        <f t="shared" si="213"/>
        <v>0</v>
      </c>
      <c r="DJ100" s="37">
        <f t="shared" si="214"/>
        <v>0</v>
      </c>
      <c r="DK100" s="37">
        <f t="shared" si="214"/>
        <v>0</v>
      </c>
      <c r="DL100" s="37">
        <f t="shared" si="214"/>
        <v>0</v>
      </c>
      <c r="DM100" s="37">
        <f t="shared" si="214"/>
        <v>0</v>
      </c>
      <c r="DN100" s="37">
        <f t="shared" si="214"/>
        <v>0</v>
      </c>
      <c r="DO100" s="37">
        <f t="shared" si="214"/>
        <v>0</v>
      </c>
      <c r="DP100" s="37">
        <f t="shared" si="214"/>
        <v>0</v>
      </c>
      <c r="DQ100" s="37">
        <f t="shared" si="214"/>
        <v>0</v>
      </c>
      <c r="DR100" s="37">
        <f t="shared" si="214"/>
        <v>0</v>
      </c>
      <c r="DS100" s="37">
        <f t="shared" si="214"/>
        <v>0</v>
      </c>
      <c r="DT100" s="37">
        <f t="shared" si="214"/>
        <v>0</v>
      </c>
      <c r="DU100" s="1"/>
      <c r="DV100" s="345" t="s">
        <v>163</v>
      </c>
    </row>
    <row r="101" spans="1:126" ht="15" customHeight="1" x14ac:dyDescent="0.3">
      <c r="A101" s="1" t="str">
        <f t="shared" si="137"/>
        <v>ADIFSE</v>
      </c>
      <c r="B101" s="1" t="str">
        <f t="shared" si="138"/>
        <v>ADIFSE</v>
      </c>
      <c r="C101" s="1" t="str">
        <f t="shared" si="139"/>
        <v>MAY</v>
      </c>
      <c r="D101" s="41" t="s">
        <v>163</v>
      </c>
      <c r="E101" s="69" t="str">
        <f t="shared" si="240"/>
        <v>Incremento de Activos Financieros - CMEC Obras ADIF</v>
      </c>
      <c r="F101" s="73" t="s">
        <v>264</v>
      </c>
      <c r="G101" s="16" t="s">
        <v>259</v>
      </c>
      <c r="H101" s="7" t="s">
        <v>260</v>
      </c>
      <c r="I101" s="16" t="s">
        <v>265</v>
      </c>
      <c r="J101" s="7" t="s">
        <v>166</v>
      </c>
      <c r="K101" s="51"/>
      <c r="L101" s="51"/>
      <c r="M101" s="51"/>
      <c r="N101" s="51"/>
      <c r="O101" s="51"/>
      <c r="P101" s="51"/>
      <c r="Q101" s="67">
        <f t="shared" si="165"/>
        <v>0</v>
      </c>
      <c r="R101" s="51"/>
      <c r="S101" s="51"/>
      <c r="T101" s="51"/>
      <c r="U101" s="51"/>
      <c r="V101" s="51"/>
      <c r="W101" s="67">
        <f t="shared" si="166"/>
        <v>0</v>
      </c>
      <c r="X101" s="51"/>
      <c r="Y101" s="51"/>
      <c r="Z101" s="51"/>
      <c r="AA101" s="51"/>
      <c r="AB101" s="51">
        <f>+'Proyeccion Transferencias'!L12</f>
        <v>50000000</v>
      </c>
      <c r="AC101" s="68">
        <f t="shared" si="167"/>
        <v>50000000</v>
      </c>
      <c r="AD101" s="51"/>
      <c r="AE101" s="51"/>
      <c r="AF101" s="51"/>
      <c r="AG101" s="51"/>
      <c r="AH101" s="51">
        <f>+'Proyeccion Transferencias'!M12</f>
        <v>202202305.16324827</v>
      </c>
      <c r="AI101" s="68">
        <f t="shared" si="168"/>
        <v>202202305.16324827</v>
      </c>
      <c r="AJ101" s="51"/>
      <c r="AK101" s="51"/>
      <c r="AL101" s="51"/>
      <c r="AM101" s="51"/>
      <c r="AN101" s="51">
        <f>+'Proyeccion Transferencias'!N12</f>
        <v>281345908.58843476</v>
      </c>
      <c r="AO101" s="68">
        <f t="shared" si="231"/>
        <v>281345908.58843476</v>
      </c>
      <c r="AP101" s="51"/>
      <c r="AQ101" s="51"/>
      <c r="AR101" s="51"/>
      <c r="AS101" s="51"/>
      <c r="AT101" s="51">
        <f>+'Proyeccion Transferencias'!O12</f>
        <v>424850201.15031314</v>
      </c>
      <c r="AU101" s="68">
        <f t="shared" si="232"/>
        <v>424850201.15031314</v>
      </c>
      <c r="AV101" s="51"/>
      <c r="AW101" s="51"/>
      <c r="AX101" s="51"/>
      <c r="AY101" s="51"/>
      <c r="AZ101" s="51">
        <f>+'Proyeccion Transferencias'!P12</f>
        <v>525245394.36961913</v>
      </c>
      <c r="BA101" s="68">
        <f t="shared" si="233"/>
        <v>525245394.36961913</v>
      </c>
      <c r="BB101" s="51"/>
      <c r="BC101" s="51"/>
      <c r="BD101" s="51"/>
      <c r="BE101" s="51"/>
      <c r="BF101" s="51">
        <f>+'Proyeccion Transferencias'!Q12</f>
        <v>598064708.05778909</v>
      </c>
      <c r="BG101" s="68">
        <f t="shared" si="234"/>
        <v>598064708.05778909</v>
      </c>
      <c r="BH101" s="51"/>
      <c r="BI101" s="51"/>
      <c r="BJ101" s="51"/>
      <c r="BK101" s="51"/>
      <c r="BL101" s="51">
        <f>+'Proyeccion Transferencias'!R12</f>
        <v>739465551.14385712</v>
      </c>
      <c r="BM101" s="68">
        <f t="shared" si="235"/>
        <v>739465551.14385712</v>
      </c>
      <c r="BN101" s="51"/>
      <c r="BO101" s="51"/>
      <c r="BP101" s="51"/>
      <c r="BQ101" s="51"/>
      <c r="BR101" s="51">
        <f>+'Proyeccion Transferencias'!S12</f>
        <v>816059872.87708616</v>
      </c>
      <c r="BS101" s="68">
        <f t="shared" si="236"/>
        <v>816059872.87708616</v>
      </c>
      <c r="BT101" s="51"/>
      <c r="BU101" s="51"/>
      <c r="BV101" s="51"/>
      <c r="BW101" s="51"/>
      <c r="BX101" s="51">
        <f>+'Proyeccion Transferencias'!T12</f>
        <v>868926668.27104509</v>
      </c>
      <c r="BY101" s="68">
        <f t="shared" si="237"/>
        <v>868926668.27104509</v>
      </c>
      <c r="BZ101" s="51"/>
      <c r="CA101" s="51"/>
      <c r="CB101" s="51"/>
      <c r="CC101" s="51"/>
      <c r="CD101" s="51">
        <f>+'Proyeccion Transferencias'!U12</f>
        <v>1909237817.3326638</v>
      </c>
      <c r="CE101" s="68">
        <f t="shared" si="238"/>
        <v>1909237817.3326638</v>
      </c>
      <c r="CF101" s="51"/>
      <c r="CG101" s="51"/>
      <c r="CH101" s="51"/>
      <c r="CI101" s="51"/>
      <c r="CJ101" s="51">
        <f>+'Proyeccion Transferencias'!V12</f>
        <v>736566396.58395481</v>
      </c>
      <c r="CK101" s="68">
        <f t="shared" si="239"/>
        <v>736566396.58395481</v>
      </c>
      <c r="CL101" s="67">
        <f t="shared" si="146"/>
        <v>0</v>
      </c>
      <c r="CM101" s="67">
        <f t="shared" si="146"/>
        <v>0</v>
      </c>
      <c r="CN101" s="67">
        <f t="shared" si="146"/>
        <v>0</v>
      </c>
      <c r="CO101" s="67">
        <f t="shared" si="141"/>
        <v>0</v>
      </c>
      <c r="CP101" s="67">
        <f t="shared" si="141"/>
        <v>7151964823.5380106</v>
      </c>
      <c r="CQ101" s="67">
        <f t="shared" si="141"/>
        <v>7151964823.5380106</v>
      </c>
      <c r="CR101" s="37">
        <f t="shared" si="212"/>
        <v>0</v>
      </c>
      <c r="CS101" s="39">
        <f t="shared" si="89"/>
        <v>50000000</v>
      </c>
      <c r="CT101" s="53">
        <f t="shared" si="90"/>
        <v>202202305.16324827</v>
      </c>
      <c r="CU101" s="39">
        <f t="shared" si="91"/>
        <v>281345908.58843476</v>
      </c>
      <c r="CV101" s="39">
        <f t="shared" si="92"/>
        <v>424850201.15031314</v>
      </c>
      <c r="CW101" s="39">
        <f t="shared" si="93"/>
        <v>525245394.36961913</v>
      </c>
      <c r="CX101" s="39">
        <f t="shared" si="94"/>
        <v>598064708.05778909</v>
      </c>
      <c r="CY101" s="39">
        <f t="shared" si="95"/>
        <v>739465551.14385712</v>
      </c>
      <c r="CZ101" s="39">
        <f t="shared" si="96"/>
        <v>816059872.87708616</v>
      </c>
      <c r="DA101" s="39">
        <f t="shared" si="97"/>
        <v>868926668.27104509</v>
      </c>
      <c r="DB101" s="39">
        <f t="shared" si="98"/>
        <v>1909237817.3326638</v>
      </c>
      <c r="DC101" s="39">
        <f t="shared" si="99"/>
        <v>736566396.58395481</v>
      </c>
      <c r="DD101" s="39">
        <f>+HLOOKUP('Reporte Evolución Mensual'!$F$2-2,$CR$2:$DC$251, Input!$DG101, FALSE)</f>
        <v>0</v>
      </c>
      <c r="DE101" s="39">
        <f>+HLOOKUP('Reporte Evolución Mensual'!$F$2-1,$CR$2:$DC$251, Input!$DG101, FALSE)</f>
        <v>0</v>
      </c>
      <c r="DF101" s="39">
        <f>+HLOOKUP('Reporte Evolución Mensual'!$F$2,$CR$2:$DC$371, Input!$DG101, FALSE)</f>
        <v>0</v>
      </c>
      <c r="DG101" s="40">
        <f t="shared" si="160"/>
        <v>101</v>
      </c>
      <c r="DH101" s="39"/>
      <c r="DI101" s="37">
        <f t="shared" si="213"/>
        <v>0</v>
      </c>
      <c r="DJ101" s="37">
        <f t="shared" si="214"/>
        <v>50000000</v>
      </c>
      <c r="DK101" s="37">
        <f t="shared" si="214"/>
        <v>252202305.16324827</v>
      </c>
      <c r="DL101" s="37">
        <f t="shared" si="214"/>
        <v>533548213.751683</v>
      </c>
      <c r="DM101" s="37">
        <f t="shared" si="214"/>
        <v>958398414.90199614</v>
      </c>
      <c r="DN101" s="37">
        <f t="shared" si="214"/>
        <v>1483643809.2716153</v>
      </c>
      <c r="DO101" s="37">
        <f t="shared" si="214"/>
        <v>2081708517.3294044</v>
      </c>
      <c r="DP101" s="37">
        <f t="shared" si="214"/>
        <v>2821174068.4732614</v>
      </c>
      <c r="DQ101" s="37">
        <f t="shared" si="214"/>
        <v>3637233941.3503475</v>
      </c>
      <c r="DR101" s="37">
        <f t="shared" si="214"/>
        <v>4506160609.6213923</v>
      </c>
      <c r="DS101" s="37">
        <f t="shared" si="214"/>
        <v>6415398426.9540558</v>
      </c>
      <c r="DT101" s="37">
        <f t="shared" si="214"/>
        <v>7151964823.5380106</v>
      </c>
      <c r="DU101" s="1"/>
      <c r="DV101" s="345" t="s">
        <v>163</v>
      </c>
    </row>
    <row r="102" spans="1:126" ht="15" customHeight="1" x14ac:dyDescent="0.3">
      <c r="A102" s="1" t="str">
        <f t="shared" si="137"/>
        <v>ADIFSE</v>
      </c>
      <c r="B102" s="1" t="str">
        <f t="shared" si="138"/>
        <v>ADIFSE</v>
      </c>
      <c r="C102" s="1" t="str">
        <f t="shared" si="139"/>
        <v>MAY</v>
      </c>
      <c r="D102" s="41" t="s">
        <v>163</v>
      </c>
      <c r="E102" s="69" t="str">
        <f t="shared" si="240"/>
        <v>Incremento de Activos Financieros - Diferidos y Adelantos a Proveedores y Contratistas resto</v>
      </c>
      <c r="F102" s="73" t="s">
        <v>266</v>
      </c>
      <c r="G102" s="16" t="s">
        <v>259</v>
      </c>
      <c r="H102" s="7" t="s">
        <v>260</v>
      </c>
      <c r="I102" s="16" t="s">
        <v>267</v>
      </c>
      <c r="J102" s="7" t="s">
        <v>166</v>
      </c>
      <c r="K102" s="51"/>
      <c r="L102" s="51"/>
      <c r="M102" s="51"/>
      <c r="N102" s="51"/>
      <c r="O102" s="51"/>
      <c r="P102" s="51"/>
      <c r="Q102" s="67">
        <f t="shared" si="165"/>
        <v>0</v>
      </c>
      <c r="R102" s="51"/>
      <c r="S102" s="51"/>
      <c r="T102" s="51"/>
      <c r="U102" s="51"/>
      <c r="V102" s="51"/>
      <c r="W102" s="67">
        <f t="shared" si="166"/>
        <v>0</v>
      </c>
      <c r="X102" s="51"/>
      <c r="Y102" s="51"/>
      <c r="Z102" s="51"/>
      <c r="AA102" s="51"/>
      <c r="AB102" s="51"/>
      <c r="AC102" s="68">
        <f t="shared" si="167"/>
        <v>0</v>
      </c>
      <c r="AD102" s="51"/>
      <c r="AE102" s="51"/>
      <c r="AF102" s="51"/>
      <c r="AG102" s="51"/>
      <c r="AH102" s="51"/>
      <c r="AI102" s="68">
        <f t="shared" si="168"/>
        <v>0</v>
      </c>
      <c r="AJ102" s="51"/>
      <c r="AK102" s="51"/>
      <c r="AL102" s="51"/>
      <c r="AM102" s="51"/>
      <c r="AN102" s="51"/>
      <c r="AO102" s="68">
        <f t="shared" si="231"/>
        <v>0</v>
      </c>
      <c r="AP102" s="51"/>
      <c r="AQ102" s="51"/>
      <c r="AR102" s="51"/>
      <c r="AS102" s="51"/>
      <c r="AT102" s="51"/>
      <c r="AU102" s="68">
        <f t="shared" si="232"/>
        <v>0</v>
      </c>
      <c r="AV102" s="51"/>
      <c r="AW102" s="51"/>
      <c r="AX102" s="51"/>
      <c r="AY102" s="51"/>
      <c r="AZ102" s="51"/>
      <c r="BA102" s="68">
        <f t="shared" si="233"/>
        <v>0</v>
      </c>
      <c r="BB102" s="51"/>
      <c r="BC102" s="51"/>
      <c r="BD102" s="51"/>
      <c r="BE102" s="51"/>
      <c r="BF102" s="51"/>
      <c r="BG102" s="68">
        <f t="shared" si="234"/>
        <v>0</v>
      </c>
      <c r="BH102" s="51"/>
      <c r="BI102" s="51"/>
      <c r="BJ102" s="51"/>
      <c r="BK102" s="51"/>
      <c r="BL102" s="51"/>
      <c r="BM102" s="68">
        <f t="shared" si="235"/>
        <v>0</v>
      </c>
      <c r="BN102" s="51"/>
      <c r="BO102" s="51"/>
      <c r="BP102" s="51"/>
      <c r="BQ102" s="51"/>
      <c r="BR102" s="51"/>
      <c r="BS102" s="68">
        <f t="shared" si="236"/>
        <v>0</v>
      </c>
      <c r="BT102" s="51"/>
      <c r="BU102" s="51"/>
      <c r="BV102" s="51"/>
      <c r="BW102" s="51"/>
      <c r="BX102" s="51"/>
      <c r="BY102" s="68">
        <f t="shared" si="237"/>
        <v>0</v>
      </c>
      <c r="BZ102" s="51"/>
      <c r="CA102" s="51"/>
      <c r="CB102" s="51"/>
      <c r="CC102" s="51"/>
      <c r="CD102" s="51"/>
      <c r="CE102" s="68">
        <f t="shared" si="238"/>
        <v>0</v>
      </c>
      <c r="CF102" s="51"/>
      <c r="CG102" s="51"/>
      <c r="CH102" s="51"/>
      <c r="CI102" s="51"/>
      <c r="CJ102" s="51"/>
      <c r="CK102" s="68">
        <f t="shared" si="239"/>
        <v>0</v>
      </c>
      <c r="CL102" s="67">
        <f t="shared" si="146"/>
        <v>0</v>
      </c>
      <c r="CM102" s="67">
        <f t="shared" si="146"/>
        <v>0</v>
      </c>
      <c r="CN102" s="67">
        <f t="shared" si="146"/>
        <v>0</v>
      </c>
      <c r="CO102" s="67">
        <f t="shared" si="141"/>
        <v>0</v>
      </c>
      <c r="CP102" s="67">
        <f t="shared" si="141"/>
        <v>0</v>
      </c>
      <c r="CQ102" s="67">
        <f t="shared" si="141"/>
        <v>0</v>
      </c>
      <c r="CR102" s="37">
        <f t="shared" si="212"/>
        <v>0</v>
      </c>
      <c r="CS102" s="39">
        <f t="shared" ref="CS102:CS129" si="241">+AC102</f>
        <v>0</v>
      </c>
      <c r="CT102" s="53">
        <f t="shared" ref="CT102:CT129" si="242">+AI102</f>
        <v>0</v>
      </c>
      <c r="CU102" s="39">
        <f t="shared" ref="CU102:CU129" si="243">+AO102</f>
        <v>0</v>
      </c>
      <c r="CV102" s="39">
        <f t="shared" ref="CV102:CV129" si="244">+AU102</f>
        <v>0</v>
      </c>
      <c r="CW102" s="39">
        <f t="shared" ref="CW102:CW129" si="245">+BA102</f>
        <v>0</v>
      </c>
      <c r="CX102" s="39">
        <f t="shared" ref="CX102:CX129" si="246">+BG102</f>
        <v>0</v>
      </c>
      <c r="CY102" s="39">
        <f t="shared" ref="CY102:CY129" si="247">+BM102</f>
        <v>0</v>
      </c>
      <c r="CZ102" s="39">
        <f t="shared" ref="CZ102:CZ129" si="248">+BS102</f>
        <v>0</v>
      </c>
      <c r="DA102" s="39">
        <f t="shared" ref="DA102:DA129" si="249">+BY102</f>
        <v>0</v>
      </c>
      <c r="DB102" s="39">
        <f t="shared" ref="DB102:DB129" si="250">+CE102</f>
        <v>0</v>
      </c>
      <c r="DC102" s="39">
        <f t="shared" ref="DC102:DC129" si="251">+CK102</f>
        <v>0</v>
      </c>
      <c r="DD102" s="39">
        <f>+HLOOKUP('Reporte Evolución Mensual'!$F$2-2,$CR$2:$DC$251, Input!$DG102, FALSE)</f>
        <v>202202305.16324827</v>
      </c>
      <c r="DE102" s="39">
        <f>+HLOOKUP('Reporte Evolución Mensual'!$F$2-1,$CR$2:$DC$251, Input!$DG102, FALSE)</f>
        <v>281345908.58843476</v>
      </c>
      <c r="DF102" s="39">
        <f>+HLOOKUP('Reporte Evolución Mensual'!$F$2,$CR$2:$DC$371, Input!$DG102, FALSE)</f>
        <v>424850201.15031314</v>
      </c>
      <c r="DG102" s="40">
        <f t="shared" si="160"/>
        <v>102</v>
      </c>
      <c r="DH102" s="39"/>
      <c r="DI102" s="37">
        <f t="shared" si="213"/>
        <v>0</v>
      </c>
      <c r="DJ102" s="37">
        <f t="shared" si="214"/>
        <v>0</v>
      </c>
      <c r="DK102" s="37">
        <f t="shared" si="214"/>
        <v>0</v>
      </c>
      <c r="DL102" s="37">
        <f t="shared" si="214"/>
        <v>0</v>
      </c>
      <c r="DM102" s="37">
        <f t="shared" si="214"/>
        <v>0</v>
      </c>
      <c r="DN102" s="37">
        <f t="shared" si="214"/>
        <v>0</v>
      </c>
      <c r="DO102" s="37">
        <f t="shared" si="214"/>
        <v>0</v>
      </c>
      <c r="DP102" s="37">
        <f t="shared" si="214"/>
        <v>0</v>
      </c>
      <c r="DQ102" s="37">
        <f t="shared" si="214"/>
        <v>0</v>
      </c>
      <c r="DR102" s="37">
        <f t="shared" si="214"/>
        <v>0</v>
      </c>
      <c r="DS102" s="37">
        <f t="shared" si="214"/>
        <v>0</v>
      </c>
      <c r="DT102" s="37">
        <f t="shared" si="214"/>
        <v>0</v>
      </c>
      <c r="DU102" s="1"/>
      <c r="DV102" s="345" t="s">
        <v>163</v>
      </c>
    </row>
    <row r="103" spans="1:126" ht="15" customHeight="1" x14ac:dyDescent="0.3">
      <c r="A103" s="1" t="str">
        <f t="shared" si="137"/>
        <v>ADIFSE</v>
      </c>
      <c r="B103" s="1" t="str">
        <f t="shared" si="138"/>
        <v>ADIFSE</v>
      </c>
      <c r="C103" s="1" t="str">
        <f t="shared" si="139"/>
        <v>MAY</v>
      </c>
      <c r="D103" s="75" t="s">
        <v>108</v>
      </c>
      <c r="E103" s="70" t="str">
        <f>CONCATENATE(H103," - ",I103)</f>
        <v>Incremento de Activos Financieros - Diferidos y Adelantos a Proveedores y Contratistas</v>
      </c>
      <c r="F103" s="72">
        <v>68</v>
      </c>
      <c r="G103" s="16" t="s">
        <v>259</v>
      </c>
      <c r="H103" s="7" t="s">
        <v>260</v>
      </c>
      <c r="I103" s="16" t="s">
        <v>268</v>
      </c>
      <c r="J103" s="7" t="s">
        <v>166</v>
      </c>
      <c r="K103" s="38">
        <f>SUM(K100:K102)</f>
        <v>0</v>
      </c>
      <c r="L103" s="38">
        <f t="shared" ref="L103:Q103" si="252">SUM(L100:L102)</f>
        <v>0</v>
      </c>
      <c r="M103" s="38">
        <f t="shared" si="252"/>
        <v>0</v>
      </c>
      <c r="N103" s="38">
        <f t="shared" si="252"/>
        <v>0</v>
      </c>
      <c r="O103" s="38">
        <f t="shared" si="252"/>
        <v>0</v>
      </c>
      <c r="P103" s="38">
        <f t="shared" si="252"/>
        <v>0</v>
      </c>
      <c r="Q103" s="67">
        <f t="shared" si="252"/>
        <v>0</v>
      </c>
      <c r="R103" s="38">
        <f t="shared" ref="R103:AW103" si="253">SUM(R100:R102)</f>
        <v>0</v>
      </c>
      <c r="S103" s="38">
        <f t="shared" si="253"/>
        <v>0</v>
      </c>
      <c r="T103" s="38">
        <f t="shared" si="253"/>
        <v>0</v>
      </c>
      <c r="U103" s="38">
        <f t="shared" si="253"/>
        <v>0</v>
      </c>
      <c r="V103" s="38">
        <f t="shared" si="253"/>
        <v>0</v>
      </c>
      <c r="W103" s="71">
        <f t="shared" si="253"/>
        <v>0</v>
      </c>
      <c r="X103" s="38">
        <f t="shared" si="253"/>
        <v>0</v>
      </c>
      <c r="Y103" s="38">
        <f t="shared" si="253"/>
        <v>0</v>
      </c>
      <c r="Z103" s="38">
        <f t="shared" si="253"/>
        <v>0</v>
      </c>
      <c r="AA103" s="38">
        <f t="shared" si="253"/>
        <v>0</v>
      </c>
      <c r="AB103" s="38">
        <f t="shared" si="253"/>
        <v>50000000</v>
      </c>
      <c r="AC103" s="71">
        <f t="shared" si="253"/>
        <v>50000000</v>
      </c>
      <c r="AD103" s="38">
        <f t="shared" si="253"/>
        <v>0</v>
      </c>
      <c r="AE103" s="38">
        <f t="shared" si="253"/>
        <v>0</v>
      </c>
      <c r="AF103" s="38">
        <f t="shared" si="253"/>
        <v>0</v>
      </c>
      <c r="AG103" s="38">
        <f t="shared" si="253"/>
        <v>0</v>
      </c>
      <c r="AH103" s="38">
        <f t="shared" si="253"/>
        <v>202202305.16324827</v>
      </c>
      <c r="AI103" s="71">
        <f t="shared" si="253"/>
        <v>202202305.16324827</v>
      </c>
      <c r="AJ103" s="38">
        <f t="shared" si="253"/>
        <v>0</v>
      </c>
      <c r="AK103" s="38">
        <f t="shared" si="253"/>
        <v>0</v>
      </c>
      <c r="AL103" s="38">
        <f t="shared" si="253"/>
        <v>0</v>
      </c>
      <c r="AM103" s="38">
        <f t="shared" si="253"/>
        <v>0</v>
      </c>
      <c r="AN103" s="38">
        <f t="shared" si="253"/>
        <v>281345908.58843476</v>
      </c>
      <c r="AO103" s="71">
        <f t="shared" ref="AO103" si="254">SUM(AO100:AO102)</f>
        <v>281345908.58843476</v>
      </c>
      <c r="AP103" s="38">
        <f t="shared" si="253"/>
        <v>0</v>
      </c>
      <c r="AQ103" s="38">
        <f t="shared" si="253"/>
        <v>0</v>
      </c>
      <c r="AR103" s="38">
        <f t="shared" si="253"/>
        <v>0</v>
      </c>
      <c r="AS103" s="38">
        <f t="shared" si="253"/>
        <v>0</v>
      </c>
      <c r="AT103" s="38">
        <f t="shared" si="253"/>
        <v>424850201.15031314</v>
      </c>
      <c r="AU103" s="71">
        <f t="shared" ref="AU103" si="255">SUM(AU100:AU102)</f>
        <v>424850201.15031314</v>
      </c>
      <c r="AV103" s="38">
        <f t="shared" si="253"/>
        <v>0</v>
      </c>
      <c r="AW103" s="38">
        <f t="shared" si="253"/>
        <v>0</v>
      </c>
      <c r="AX103" s="38">
        <f t="shared" ref="AX103:BW103" si="256">SUM(AX100:AX102)</f>
        <v>0</v>
      </c>
      <c r="AY103" s="38">
        <f t="shared" si="256"/>
        <v>0</v>
      </c>
      <c r="AZ103" s="38">
        <f t="shared" si="256"/>
        <v>525245394.36961913</v>
      </c>
      <c r="BA103" s="71">
        <f t="shared" ref="BA103" si="257">SUM(BA100:BA102)</f>
        <v>525245394.36961913</v>
      </c>
      <c r="BB103" s="38">
        <f t="shared" si="256"/>
        <v>0</v>
      </c>
      <c r="BC103" s="38">
        <f t="shared" si="256"/>
        <v>0</v>
      </c>
      <c r="BD103" s="38">
        <f t="shared" si="256"/>
        <v>0</v>
      </c>
      <c r="BE103" s="38">
        <f t="shared" si="256"/>
        <v>0</v>
      </c>
      <c r="BF103" s="38">
        <f t="shared" si="256"/>
        <v>598064708.05778909</v>
      </c>
      <c r="BG103" s="71">
        <f t="shared" ref="BG103" si="258">SUM(BG100:BG102)</f>
        <v>598064708.05778909</v>
      </c>
      <c r="BH103" s="38">
        <f t="shared" si="256"/>
        <v>0</v>
      </c>
      <c r="BI103" s="38">
        <f t="shared" si="256"/>
        <v>0</v>
      </c>
      <c r="BJ103" s="38">
        <f t="shared" si="256"/>
        <v>0</v>
      </c>
      <c r="BK103" s="38">
        <f t="shared" si="256"/>
        <v>0</v>
      </c>
      <c r="BL103" s="38">
        <f t="shared" si="256"/>
        <v>739465551.14385712</v>
      </c>
      <c r="BM103" s="71">
        <f t="shared" ref="BM103" si="259">SUM(BM100:BM102)</f>
        <v>739465551.14385712</v>
      </c>
      <c r="BN103" s="38">
        <f t="shared" si="256"/>
        <v>0</v>
      </c>
      <c r="BO103" s="38">
        <f t="shared" si="256"/>
        <v>0</v>
      </c>
      <c r="BP103" s="38">
        <f t="shared" si="256"/>
        <v>0</v>
      </c>
      <c r="BQ103" s="38">
        <f t="shared" si="256"/>
        <v>0</v>
      </c>
      <c r="BR103" s="38">
        <f t="shared" si="256"/>
        <v>816059872.87708616</v>
      </c>
      <c r="BS103" s="71">
        <f t="shared" ref="BS103" si="260">SUM(BS100:BS102)</f>
        <v>816059872.87708616</v>
      </c>
      <c r="BT103" s="38">
        <f t="shared" si="256"/>
        <v>0</v>
      </c>
      <c r="BU103" s="38">
        <f t="shared" si="256"/>
        <v>0</v>
      </c>
      <c r="BV103" s="38">
        <f t="shared" si="256"/>
        <v>0</v>
      </c>
      <c r="BW103" s="38">
        <f t="shared" si="256"/>
        <v>0</v>
      </c>
      <c r="BX103" s="38">
        <f t="shared" ref="BX103:CJ103" si="261">SUM(BX100:BX102)</f>
        <v>868926668.27104509</v>
      </c>
      <c r="BY103" s="71">
        <f t="shared" ref="BY103" si="262">SUM(BY100:BY102)</f>
        <v>868926668.27104509</v>
      </c>
      <c r="BZ103" s="38">
        <f t="shared" si="261"/>
        <v>0</v>
      </c>
      <c r="CA103" s="38">
        <f t="shared" si="261"/>
        <v>0</v>
      </c>
      <c r="CB103" s="38">
        <f t="shared" si="261"/>
        <v>0</v>
      </c>
      <c r="CC103" s="38">
        <f t="shared" si="261"/>
        <v>0</v>
      </c>
      <c r="CD103" s="38">
        <f t="shared" si="261"/>
        <v>1909237817.3326638</v>
      </c>
      <c r="CE103" s="71">
        <f t="shared" ref="CE103" si="263">SUM(CE100:CE102)</f>
        <v>1909237817.3326638</v>
      </c>
      <c r="CF103" s="38">
        <f t="shared" si="261"/>
        <v>0</v>
      </c>
      <c r="CG103" s="38">
        <f t="shared" si="261"/>
        <v>0</v>
      </c>
      <c r="CH103" s="38">
        <f t="shared" si="261"/>
        <v>0</v>
      </c>
      <c r="CI103" s="38">
        <f t="shared" si="261"/>
        <v>0</v>
      </c>
      <c r="CJ103" s="38">
        <f t="shared" si="261"/>
        <v>736566396.58395481</v>
      </c>
      <c r="CK103" s="71">
        <f t="shared" ref="CK103" si="264">SUM(CK100:CK102)</f>
        <v>736566396.58395481</v>
      </c>
      <c r="CL103" s="67">
        <f t="shared" si="146"/>
        <v>0</v>
      </c>
      <c r="CM103" s="67">
        <f t="shared" si="146"/>
        <v>0</v>
      </c>
      <c r="CN103" s="67">
        <f t="shared" si="146"/>
        <v>0</v>
      </c>
      <c r="CO103" s="67">
        <f t="shared" si="141"/>
        <v>0</v>
      </c>
      <c r="CP103" s="67">
        <f t="shared" si="141"/>
        <v>7151964823.5380106</v>
      </c>
      <c r="CQ103" s="67">
        <f t="shared" si="141"/>
        <v>7151964823.5380106</v>
      </c>
      <c r="CR103" s="37">
        <f t="shared" si="212"/>
        <v>0</v>
      </c>
      <c r="CS103" s="39">
        <f t="shared" si="241"/>
        <v>50000000</v>
      </c>
      <c r="CT103" s="53">
        <f t="shared" si="242"/>
        <v>202202305.16324827</v>
      </c>
      <c r="CU103" s="39">
        <f t="shared" si="243"/>
        <v>281345908.58843476</v>
      </c>
      <c r="CV103" s="39">
        <f t="shared" si="244"/>
        <v>424850201.15031314</v>
      </c>
      <c r="CW103" s="39">
        <f t="shared" si="245"/>
        <v>525245394.36961913</v>
      </c>
      <c r="CX103" s="39">
        <f t="shared" si="246"/>
        <v>598064708.05778909</v>
      </c>
      <c r="CY103" s="39">
        <f t="shared" si="247"/>
        <v>739465551.14385712</v>
      </c>
      <c r="CZ103" s="39">
        <f t="shared" si="248"/>
        <v>816059872.87708616</v>
      </c>
      <c r="DA103" s="39">
        <f t="shared" si="249"/>
        <v>868926668.27104509</v>
      </c>
      <c r="DB103" s="39">
        <f t="shared" si="250"/>
        <v>1909237817.3326638</v>
      </c>
      <c r="DC103" s="39">
        <f t="shared" si="251"/>
        <v>736566396.58395481</v>
      </c>
      <c r="DD103" s="39">
        <f>+HLOOKUP('Reporte Evolución Mensual'!$F$2-2,$CR$2:$DC$251, Input!$DG103, FALSE)</f>
        <v>31000000</v>
      </c>
      <c r="DE103" s="39">
        <f>+HLOOKUP('Reporte Evolución Mensual'!$F$2-1,$CR$2:$DC$251, Input!$DG103, FALSE)</f>
        <v>45380000</v>
      </c>
      <c r="DF103" s="39">
        <f>+HLOOKUP('Reporte Evolución Mensual'!$F$2,$CR$2:$DC$371, Input!$DG103, FALSE)</f>
        <v>62075647.650901705</v>
      </c>
      <c r="DG103" s="40">
        <f t="shared" si="160"/>
        <v>103</v>
      </c>
      <c r="DH103" s="37"/>
      <c r="DI103" s="37">
        <f t="shared" si="213"/>
        <v>0</v>
      </c>
      <c r="DJ103" s="37">
        <f t="shared" si="214"/>
        <v>50000000</v>
      </c>
      <c r="DK103" s="37">
        <f t="shared" si="214"/>
        <v>252202305.16324827</v>
      </c>
      <c r="DL103" s="37">
        <f t="shared" si="214"/>
        <v>533548213.751683</v>
      </c>
      <c r="DM103" s="37">
        <f t="shared" si="214"/>
        <v>958398414.90199614</v>
      </c>
      <c r="DN103" s="37">
        <f t="shared" si="214"/>
        <v>1483643809.2716153</v>
      </c>
      <c r="DO103" s="37">
        <f t="shared" si="214"/>
        <v>2081708517.3294044</v>
      </c>
      <c r="DP103" s="37">
        <f t="shared" si="214"/>
        <v>2821174068.4732614</v>
      </c>
      <c r="DQ103" s="37">
        <f t="shared" si="214"/>
        <v>3637233941.3503475</v>
      </c>
      <c r="DR103" s="37">
        <f t="shared" si="214"/>
        <v>4506160609.6213923</v>
      </c>
      <c r="DS103" s="37">
        <f t="shared" si="214"/>
        <v>6415398426.9540558</v>
      </c>
      <c r="DT103" s="37">
        <f t="shared" si="214"/>
        <v>7151964823.5380106</v>
      </c>
      <c r="DU103" s="1"/>
      <c r="DV103" s="345"/>
    </row>
    <row r="104" spans="1:126" ht="15" customHeight="1" x14ac:dyDescent="0.3">
      <c r="A104" s="1" t="str">
        <f t="shared" si="137"/>
        <v>ADIFSE</v>
      </c>
      <c r="B104" s="1" t="str">
        <f t="shared" si="138"/>
        <v>ADIFSE</v>
      </c>
      <c r="C104" s="1" t="str">
        <f t="shared" si="139"/>
        <v>MAY</v>
      </c>
      <c r="D104" s="41" t="s">
        <v>163</v>
      </c>
      <c r="E104" s="69" t="str">
        <f>CONCATENATE(H104," - ",I104)</f>
        <v>Disminución de Otros Pasivos - Amortización de deuda</v>
      </c>
      <c r="F104" s="73" t="s">
        <v>269</v>
      </c>
      <c r="G104" s="16" t="s">
        <v>259</v>
      </c>
      <c r="H104" s="16" t="s">
        <v>270</v>
      </c>
      <c r="I104" s="16" t="s">
        <v>271</v>
      </c>
      <c r="J104" s="7" t="s">
        <v>166</v>
      </c>
      <c r="K104" s="51"/>
      <c r="L104" s="51"/>
      <c r="M104" s="51"/>
      <c r="N104" s="51"/>
      <c r="O104" s="51"/>
      <c r="P104" s="51"/>
      <c r="Q104" s="67">
        <f t="shared" si="165"/>
        <v>0</v>
      </c>
      <c r="R104" s="51"/>
      <c r="S104" s="51"/>
      <c r="T104" s="51"/>
      <c r="U104" s="51"/>
      <c r="V104" s="51"/>
      <c r="W104" s="68">
        <f t="shared" si="166"/>
        <v>0</v>
      </c>
      <c r="X104" s="51">
        <f>+X113</f>
        <v>45380000</v>
      </c>
      <c r="Y104" s="51">
        <f>+Y113</f>
        <v>8100000</v>
      </c>
      <c r="Z104" s="51"/>
      <c r="AA104" s="51">
        <f>+AA113</f>
        <v>15000000</v>
      </c>
      <c r="AB104" s="51"/>
      <c r="AC104" s="68">
        <f t="shared" si="167"/>
        <v>68480000</v>
      </c>
      <c r="AD104" s="51">
        <f>+AD113</f>
        <v>31000000</v>
      </c>
      <c r="AE104" s="51">
        <f>+AE113</f>
        <v>0</v>
      </c>
      <c r="AF104" s="51"/>
      <c r="AG104" s="51">
        <f>+AG113</f>
        <v>0</v>
      </c>
      <c r="AH104" s="51"/>
      <c r="AI104" s="68">
        <f t="shared" si="168"/>
        <v>31000000</v>
      </c>
      <c r="AJ104" s="51">
        <f>+AJ113</f>
        <v>45380000</v>
      </c>
      <c r="AK104" s="51">
        <f>+AK113</f>
        <v>0</v>
      </c>
      <c r="AL104" s="51"/>
      <c r="AM104" s="51">
        <f>+AM113</f>
        <v>0</v>
      </c>
      <c r="AN104" s="51"/>
      <c r="AO104" s="68">
        <f t="shared" si="231"/>
        <v>45380000</v>
      </c>
      <c r="AP104" s="51">
        <f>+AP113</f>
        <v>62075647.650901705</v>
      </c>
      <c r="AQ104" s="51">
        <f>+AQ113</f>
        <v>0</v>
      </c>
      <c r="AR104" s="51"/>
      <c r="AS104" s="51">
        <f>+AS25</f>
        <v>0</v>
      </c>
      <c r="AT104" s="51"/>
      <c r="AU104" s="68">
        <f t="shared" si="232"/>
        <v>62075647.650901705</v>
      </c>
      <c r="AV104" s="51">
        <f>+AV113</f>
        <v>47642159.007278219</v>
      </c>
      <c r="AW104" s="51">
        <f>+AW113</f>
        <v>0</v>
      </c>
      <c r="AX104" s="51"/>
      <c r="AY104" s="51">
        <f>+AY25</f>
        <v>15000000</v>
      </c>
      <c r="AZ104" s="51"/>
      <c r="BA104" s="68">
        <f t="shared" si="233"/>
        <v>62642159.007278219</v>
      </c>
      <c r="BB104" s="51">
        <f>+BB113</f>
        <v>0</v>
      </c>
      <c r="BC104" s="51">
        <f>+BC113</f>
        <v>0</v>
      </c>
      <c r="BD104" s="51"/>
      <c r="BE104" s="51">
        <f>+BE25</f>
        <v>15000000</v>
      </c>
      <c r="BF104" s="51"/>
      <c r="BG104" s="68">
        <f t="shared" si="234"/>
        <v>15000000</v>
      </c>
      <c r="BH104" s="51">
        <f>+BH113</f>
        <v>0</v>
      </c>
      <c r="BI104" s="51">
        <f>+BI113</f>
        <v>0</v>
      </c>
      <c r="BJ104" s="51"/>
      <c r="BK104" s="51">
        <f>+BK25</f>
        <v>20000000</v>
      </c>
      <c r="BL104" s="51"/>
      <c r="BM104" s="68">
        <f t="shared" si="235"/>
        <v>20000000</v>
      </c>
      <c r="BN104" s="51">
        <f>+BN113</f>
        <v>0</v>
      </c>
      <c r="BO104" s="51">
        <f>+BO113</f>
        <v>0</v>
      </c>
      <c r="BP104" s="51"/>
      <c r="BQ104" s="51">
        <f>+BQ25</f>
        <v>30000000</v>
      </c>
      <c r="BR104" s="51"/>
      <c r="BS104" s="68">
        <f t="shared" si="236"/>
        <v>30000000</v>
      </c>
      <c r="BT104" s="51">
        <f>+BT113</f>
        <v>0</v>
      </c>
      <c r="BU104" s="51">
        <f>+BU113</f>
        <v>0</v>
      </c>
      <c r="BV104" s="51"/>
      <c r="BW104" s="51">
        <f>+BW25</f>
        <v>30000000</v>
      </c>
      <c r="BX104" s="51"/>
      <c r="BY104" s="68">
        <f t="shared" si="237"/>
        <v>30000000</v>
      </c>
      <c r="BZ104" s="51">
        <f>+BZ113</f>
        <v>0</v>
      </c>
      <c r="CA104" s="51">
        <f>+CA113</f>
        <v>0</v>
      </c>
      <c r="CB104" s="51"/>
      <c r="CC104" s="51">
        <f>+CC25</f>
        <v>30000000</v>
      </c>
      <c r="CD104" s="51"/>
      <c r="CE104" s="68">
        <f t="shared" si="238"/>
        <v>30000000</v>
      </c>
      <c r="CF104" s="51">
        <f>+CF113</f>
        <v>0</v>
      </c>
      <c r="CG104" s="51">
        <f>+CG113</f>
        <v>0</v>
      </c>
      <c r="CH104" s="51"/>
      <c r="CI104" s="51">
        <f>+CI25</f>
        <v>30000000</v>
      </c>
      <c r="CJ104" s="51"/>
      <c r="CK104" s="68">
        <f t="shared" si="239"/>
        <v>30000000</v>
      </c>
      <c r="CL104" s="67">
        <f t="shared" si="146"/>
        <v>231477806.65817994</v>
      </c>
      <c r="CM104" s="67">
        <f t="shared" si="146"/>
        <v>8100000</v>
      </c>
      <c r="CN104" s="67">
        <f t="shared" si="146"/>
        <v>0</v>
      </c>
      <c r="CO104" s="67">
        <f t="shared" si="141"/>
        <v>185000000</v>
      </c>
      <c r="CP104" s="67">
        <f t="shared" si="141"/>
        <v>0</v>
      </c>
      <c r="CQ104" s="67">
        <f t="shared" si="141"/>
        <v>424577806.65817994</v>
      </c>
      <c r="CR104" s="37">
        <f t="shared" si="212"/>
        <v>0</v>
      </c>
      <c r="CS104" s="39">
        <f t="shared" si="241"/>
        <v>68480000</v>
      </c>
      <c r="CT104" s="53">
        <f t="shared" si="242"/>
        <v>31000000</v>
      </c>
      <c r="CU104" s="39">
        <f t="shared" si="243"/>
        <v>45380000</v>
      </c>
      <c r="CV104" s="39">
        <f t="shared" si="244"/>
        <v>62075647.650901705</v>
      </c>
      <c r="CW104" s="39">
        <f t="shared" si="245"/>
        <v>62642159.007278219</v>
      </c>
      <c r="CX104" s="39">
        <f t="shared" si="246"/>
        <v>15000000</v>
      </c>
      <c r="CY104" s="39">
        <f t="shared" si="247"/>
        <v>20000000</v>
      </c>
      <c r="CZ104" s="39">
        <f t="shared" si="248"/>
        <v>30000000</v>
      </c>
      <c r="DA104" s="39">
        <f t="shared" si="249"/>
        <v>30000000</v>
      </c>
      <c r="DB104" s="39">
        <f t="shared" si="250"/>
        <v>30000000</v>
      </c>
      <c r="DC104" s="39">
        <f t="shared" si="251"/>
        <v>30000000</v>
      </c>
      <c r="DD104" s="39">
        <f>+HLOOKUP('Reporte Evolución Mensual'!$F$2-2,$CR$2:$DC$251, Input!$DG104, FALSE)</f>
        <v>248638426.82991493</v>
      </c>
      <c r="DE104" s="39">
        <f>+HLOOKUP('Reporte Evolución Mensual'!$F$2-1,$CR$2:$DC$251, Input!$DG104, FALSE)</f>
        <v>468432221.56690764</v>
      </c>
      <c r="DF104" s="39">
        <f>+HLOOKUP('Reporte Evolución Mensual'!$F$2,$CR$2:$DC$371, Input!$DG104, FALSE)</f>
        <v>509687426.72783983</v>
      </c>
      <c r="DG104" s="40">
        <f t="shared" si="160"/>
        <v>104</v>
      </c>
      <c r="DH104" s="39"/>
      <c r="DI104" s="37">
        <f t="shared" si="213"/>
        <v>0</v>
      </c>
      <c r="DJ104" s="37">
        <f t="shared" si="214"/>
        <v>68480000</v>
      </c>
      <c r="DK104" s="37">
        <f t="shared" si="214"/>
        <v>99480000</v>
      </c>
      <c r="DL104" s="37">
        <f t="shared" si="214"/>
        <v>144860000</v>
      </c>
      <c r="DM104" s="37">
        <f t="shared" si="214"/>
        <v>206935647.65090171</v>
      </c>
      <c r="DN104" s="37">
        <f t="shared" si="214"/>
        <v>269577806.65817994</v>
      </c>
      <c r="DO104" s="37">
        <f t="shared" si="214"/>
        <v>284577806.65817994</v>
      </c>
      <c r="DP104" s="37">
        <f t="shared" si="214"/>
        <v>304577806.65817994</v>
      </c>
      <c r="DQ104" s="37">
        <f t="shared" si="214"/>
        <v>334577806.65817994</v>
      </c>
      <c r="DR104" s="37">
        <f t="shared" si="214"/>
        <v>364577806.65817994</v>
      </c>
      <c r="DS104" s="37">
        <f t="shared" si="214"/>
        <v>394577806.65817994</v>
      </c>
      <c r="DT104" s="37">
        <f t="shared" si="214"/>
        <v>424577806.65817994</v>
      </c>
      <c r="DU104" s="1"/>
      <c r="DV104" s="345" t="s">
        <v>163</v>
      </c>
    </row>
    <row r="105" spans="1:126" ht="15" customHeight="1" x14ac:dyDescent="0.3">
      <c r="A105" s="1" t="str">
        <f t="shared" si="137"/>
        <v>ADIFSE</v>
      </c>
      <c r="B105" s="1" t="str">
        <f t="shared" si="138"/>
        <v>ADIFSE</v>
      </c>
      <c r="C105" s="1" t="str">
        <f t="shared" si="139"/>
        <v>MAY</v>
      </c>
      <c r="D105" s="75" t="s">
        <v>108</v>
      </c>
      <c r="E105" s="65" t="str">
        <f>CONCATENATE(H105," - ",I105)</f>
        <v>Aplicaciones Financieras - Total</v>
      </c>
      <c r="F105" s="70"/>
      <c r="G105" s="16" t="s">
        <v>259</v>
      </c>
      <c r="H105" s="16" t="s">
        <v>259</v>
      </c>
      <c r="I105" s="7" t="s">
        <v>173</v>
      </c>
      <c r="J105" s="7" t="s">
        <v>166</v>
      </c>
      <c r="K105" s="46">
        <f>+K97+K99+K103+K104</f>
        <v>0</v>
      </c>
      <c r="L105" s="46">
        <f t="shared" ref="L105:Q105" si="265">+L97+L99+L103+L104</f>
        <v>0</v>
      </c>
      <c r="M105" s="46">
        <f t="shared" si="265"/>
        <v>0</v>
      </c>
      <c r="N105" s="46">
        <f t="shared" si="265"/>
        <v>0</v>
      </c>
      <c r="O105" s="46">
        <f t="shared" si="265"/>
        <v>0</v>
      </c>
      <c r="P105" s="46">
        <f t="shared" si="265"/>
        <v>0</v>
      </c>
      <c r="Q105" s="56">
        <f t="shared" si="265"/>
        <v>0</v>
      </c>
      <c r="R105" s="46">
        <f t="shared" ref="R105:AW105" si="266">+R97+R99+R103+R104</f>
        <v>0</v>
      </c>
      <c r="S105" s="46">
        <f t="shared" si="266"/>
        <v>0</v>
      </c>
      <c r="T105" s="46">
        <f t="shared" si="266"/>
        <v>0</v>
      </c>
      <c r="U105" s="46">
        <f t="shared" si="266"/>
        <v>0</v>
      </c>
      <c r="V105" s="46">
        <f t="shared" si="266"/>
        <v>0</v>
      </c>
      <c r="W105" s="86">
        <f t="shared" si="266"/>
        <v>0</v>
      </c>
      <c r="X105" s="46">
        <f t="shared" si="266"/>
        <v>45380000</v>
      </c>
      <c r="Y105" s="46">
        <f t="shared" si="266"/>
        <v>12706121.666666666</v>
      </c>
      <c r="Z105" s="46">
        <f t="shared" si="266"/>
        <v>0</v>
      </c>
      <c r="AA105" s="46">
        <f t="shared" si="266"/>
        <v>15000000</v>
      </c>
      <c r="AB105" s="46">
        <f t="shared" si="266"/>
        <v>50000000</v>
      </c>
      <c r="AC105" s="86">
        <f t="shared" si="266"/>
        <v>123086121.66666666</v>
      </c>
      <c r="AD105" s="46">
        <f t="shared" si="266"/>
        <v>31000000</v>
      </c>
      <c r="AE105" s="46">
        <f t="shared" si="266"/>
        <v>15436121.666666668</v>
      </c>
      <c r="AF105" s="46">
        <f t="shared" si="266"/>
        <v>0</v>
      </c>
      <c r="AG105" s="46">
        <f t="shared" si="266"/>
        <v>0</v>
      </c>
      <c r="AH105" s="46">
        <f t="shared" si="266"/>
        <v>202202305.16324827</v>
      </c>
      <c r="AI105" s="86">
        <f t="shared" si="266"/>
        <v>248638426.82991493</v>
      </c>
      <c r="AJ105" s="46">
        <f t="shared" si="266"/>
        <v>170045480.32684785</v>
      </c>
      <c r="AK105" s="46">
        <f t="shared" si="266"/>
        <v>17040832.651625</v>
      </c>
      <c r="AL105" s="46">
        <f t="shared" si="266"/>
        <v>0</v>
      </c>
      <c r="AM105" s="46">
        <f t="shared" si="266"/>
        <v>0</v>
      </c>
      <c r="AN105" s="46">
        <f t="shared" si="266"/>
        <v>281345908.58843476</v>
      </c>
      <c r="AO105" s="86">
        <f t="shared" si="266"/>
        <v>468432221.56690764</v>
      </c>
      <c r="AP105" s="46">
        <f t="shared" si="266"/>
        <v>62075647.650901705</v>
      </c>
      <c r="AQ105" s="46">
        <f t="shared" si="266"/>
        <v>22761577.926625002</v>
      </c>
      <c r="AR105" s="46">
        <f t="shared" si="266"/>
        <v>0</v>
      </c>
      <c r="AS105" s="46">
        <f t="shared" si="266"/>
        <v>0</v>
      </c>
      <c r="AT105" s="46">
        <f t="shared" si="266"/>
        <v>424850201.15031314</v>
      </c>
      <c r="AU105" s="86">
        <f t="shared" si="266"/>
        <v>509687426.72783983</v>
      </c>
      <c r="AV105" s="46">
        <f t="shared" si="266"/>
        <v>47642159.007278219</v>
      </c>
      <c r="AW105" s="46">
        <f t="shared" si="266"/>
        <v>7990453.4516249998</v>
      </c>
      <c r="AX105" s="46">
        <f t="shared" ref="AX105:BW105" si="267">+AX97+AX99+AX103+AX104</f>
        <v>0</v>
      </c>
      <c r="AY105" s="46">
        <f t="shared" si="267"/>
        <v>15000000</v>
      </c>
      <c r="AZ105" s="46">
        <f t="shared" si="267"/>
        <v>525245394.36961913</v>
      </c>
      <c r="BA105" s="86">
        <f t="shared" si="267"/>
        <v>595878006.82852232</v>
      </c>
      <c r="BB105" s="46">
        <f t="shared" si="267"/>
        <v>0</v>
      </c>
      <c r="BC105" s="46">
        <f t="shared" si="267"/>
        <v>147936853.45162499</v>
      </c>
      <c r="BD105" s="46">
        <f t="shared" si="267"/>
        <v>0</v>
      </c>
      <c r="BE105" s="46">
        <f t="shared" si="267"/>
        <v>15000000</v>
      </c>
      <c r="BF105" s="46">
        <f t="shared" si="267"/>
        <v>598064708.05778909</v>
      </c>
      <c r="BG105" s="86">
        <f t="shared" si="267"/>
        <v>761001561.50941408</v>
      </c>
      <c r="BH105" s="46">
        <f t="shared" si="267"/>
        <v>0</v>
      </c>
      <c r="BI105" s="46">
        <f t="shared" si="267"/>
        <v>16884627.82662499</v>
      </c>
      <c r="BJ105" s="46">
        <f t="shared" si="267"/>
        <v>0</v>
      </c>
      <c r="BK105" s="46">
        <f t="shared" si="267"/>
        <v>20000000</v>
      </c>
      <c r="BL105" s="46">
        <f t="shared" si="267"/>
        <v>739465551.14385712</v>
      </c>
      <c r="BM105" s="86">
        <f t="shared" si="267"/>
        <v>776350178.97048211</v>
      </c>
      <c r="BN105" s="46">
        <f t="shared" si="267"/>
        <v>0</v>
      </c>
      <c r="BO105" s="46">
        <f t="shared" si="267"/>
        <v>14061072.959999999</v>
      </c>
      <c r="BP105" s="46">
        <f t="shared" si="267"/>
        <v>0</v>
      </c>
      <c r="BQ105" s="46">
        <f t="shared" si="267"/>
        <v>30000000</v>
      </c>
      <c r="BR105" s="46">
        <f t="shared" si="267"/>
        <v>816059872.87708616</v>
      </c>
      <c r="BS105" s="86">
        <f t="shared" si="267"/>
        <v>860120945.8370862</v>
      </c>
      <c r="BT105" s="46">
        <f t="shared" si="267"/>
        <v>0</v>
      </c>
      <c r="BU105" s="46">
        <f t="shared" si="267"/>
        <v>19166952.449999999</v>
      </c>
      <c r="BV105" s="46">
        <f t="shared" si="267"/>
        <v>0</v>
      </c>
      <c r="BW105" s="46">
        <f t="shared" si="267"/>
        <v>30000000</v>
      </c>
      <c r="BX105" s="46">
        <f t="shared" ref="BX105:CK105" si="268">+BX97+BX99+BX103+BX104</f>
        <v>868926668.27104509</v>
      </c>
      <c r="BY105" s="86">
        <f t="shared" si="268"/>
        <v>918093620.72104514</v>
      </c>
      <c r="BZ105" s="46">
        <f t="shared" si="268"/>
        <v>0</v>
      </c>
      <c r="CA105" s="46">
        <f t="shared" si="268"/>
        <v>4305900</v>
      </c>
      <c r="CB105" s="46">
        <f t="shared" si="268"/>
        <v>0</v>
      </c>
      <c r="CC105" s="46">
        <f t="shared" si="268"/>
        <v>30000000</v>
      </c>
      <c r="CD105" s="46">
        <f t="shared" si="268"/>
        <v>1909237817.3326638</v>
      </c>
      <c r="CE105" s="86">
        <f t="shared" si="268"/>
        <v>1943543717.3326638</v>
      </c>
      <c r="CF105" s="46">
        <f t="shared" si="268"/>
        <v>0</v>
      </c>
      <c r="CG105" s="46">
        <f t="shared" si="268"/>
        <v>4495150</v>
      </c>
      <c r="CH105" s="46">
        <f t="shared" si="268"/>
        <v>0</v>
      </c>
      <c r="CI105" s="46">
        <f t="shared" si="268"/>
        <v>30000000</v>
      </c>
      <c r="CJ105" s="46">
        <f t="shared" si="268"/>
        <v>736566396.58395481</v>
      </c>
      <c r="CK105" s="86">
        <f t="shared" si="268"/>
        <v>771061546.58395481</v>
      </c>
      <c r="CL105" s="56">
        <f t="shared" si="146"/>
        <v>356143286.98502779</v>
      </c>
      <c r="CM105" s="56">
        <f t="shared" si="146"/>
        <v>282785664.05145836</v>
      </c>
      <c r="CN105" s="56">
        <f t="shared" si="146"/>
        <v>0</v>
      </c>
      <c r="CO105" s="56">
        <f t="shared" si="141"/>
        <v>185000000</v>
      </c>
      <c r="CP105" s="56">
        <f t="shared" si="141"/>
        <v>7151964823.5380106</v>
      </c>
      <c r="CQ105" s="56">
        <f t="shared" si="141"/>
        <v>7975893774.5744982</v>
      </c>
      <c r="CR105" s="37">
        <f t="shared" si="212"/>
        <v>0</v>
      </c>
      <c r="CS105" s="39">
        <f t="shared" si="241"/>
        <v>123086121.66666666</v>
      </c>
      <c r="CT105" s="53">
        <f t="shared" si="242"/>
        <v>248638426.82991493</v>
      </c>
      <c r="CU105" s="39">
        <f t="shared" si="243"/>
        <v>468432221.56690764</v>
      </c>
      <c r="CV105" s="39">
        <f t="shared" si="244"/>
        <v>509687426.72783983</v>
      </c>
      <c r="CW105" s="39">
        <f t="shared" si="245"/>
        <v>595878006.82852232</v>
      </c>
      <c r="CX105" s="39">
        <f t="shared" si="246"/>
        <v>761001561.50941408</v>
      </c>
      <c r="CY105" s="39">
        <f t="shared" si="247"/>
        <v>776350178.97048211</v>
      </c>
      <c r="CZ105" s="39">
        <f t="shared" si="248"/>
        <v>860120945.8370862</v>
      </c>
      <c r="DA105" s="39">
        <f t="shared" si="249"/>
        <v>918093620.72104514</v>
      </c>
      <c r="DB105" s="39">
        <f t="shared" si="250"/>
        <v>1943543717.3326638</v>
      </c>
      <c r="DC105" s="39">
        <f t="shared" si="251"/>
        <v>771061546.58395481</v>
      </c>
      <c r="DD105" s="39">
        <f>+HLOOKUP('Reporte Evolución Mensual'!$F$2-2,$CR$2:$DC$251, Input!$DG105, FALSE)</f>
        <v>0</v>
      </c>
      <c r="DE105" s="39">
        <f>+HLOOKUP('Reporte Evolución Mensual'!$F$2-1,$CR$2:$DC$251, Input!$DG105, FALSE)</f>
        <v>0</v>
      </c>
      <c r="DF105" s="39">
        <f>+HLOOKUP('Reporte Evolución Mensual'!$F$2,$CR$2:$DC$371, Input!$DG105, FALSE)</f>
        <v>0</v>
      </c>
      <c r="DG105" s="40">
        <f t="shared" si="160"/>
        <v>105</v>
      </c>
      <c r="DH105" s="37"/>
      <c r="DI105" s="37">
        <f t="shared" si="213"/>
        <v>0</v>
      </c>
      <c r="DJ105" s="37">
        <f t="shared" si="214"/>
        <v>123086121.66666666</v>
      </c>
      <c r="DK105" s="37">
        <f t="shared" si="214"/>
        <v>371724548.49658155</v>
      </c>
      <c r="DL105" s="37">
        <f t="shared" si="214"/>
        <v>840156770.0634892</v>
      </c>
      <c r="DM105" s="37">
        <f t="shared" si="214"/>
        <v>1349844196.7913289</v>
      </c>
      <c r="DN105" s="37">
        <f t="shared" si="214"/>
        <v>1945722203.6198511</v>
      </c>
      <c r="DO105" s="37">
        <f t="shared" si="214"/>
        <v>2706723765.1292653</v>
      </c>
      <c r="DP105" s="37">
        <f t="shared" si="214"/>
        <v>3483073944.0997477</v>
      </c>
      <c r="DQ105" s="37">
        <f t="shared" si="214"/>
        <v>4343194889.9368343</v>
      </c>
      <c r="DR105" s="37">
        <f t="shared" si="214"/>
        <v>5261288510.6578798</v>
      </c>
      <c r="DS105" s="37">
        <f t="shared" si="214"/>
        <v>7204832227.9905434</v>
      </c>
      <c r="DT105" s="37">
        <f t="shared" si="214"/>
        <v>7975893774.5744982</v>
      </c>
      <c r="DU105" s="1"/>
      <c r="DV105" s="345"/>
    </row>
    <row r="106" spans="1:126" ht="15" customHeight="1" x14ac:dyDescent="0.3">
      <c r="A106" s="1" t="str">
        <f t="shared" si="137"/>
        <v>ADIFSE</v>
      </c>
      <c r="B106" s="1" t="str">
        <f t="shared" si="138"/>
        <v>ADIFSE</v>
      </c>
      <c r="C106" s="1" t="str">
        <f t="shared" si="139"/>
        <v>MAY</v>
      </c>
      <c r="D106" s="41" t="s">
        <v>108</v>
      </c>
      <c r="E106" s="54" t="s">
        <v>333</v>
      </c>
      <c r="F106" s="43"/>
      <c r="G106" s="1"/>
      <c r="H106" s="32"/>
      <c r="I106" s="32"/>
      <c r="J106" s="32"/>
      <c r="K106" s="48"/>
      <c r="L106" s="46"/>
      <c r="M106" s="46"/>
      <c r="N106" s="46"/>
      <c r="O106" s="46"/>
      <c r="P106" s="46"/>
      <c r="Q106" s="56"/>
      <c r="R106" s="46"/>
      <c r="S106" s="46"/>
      <c r="T106" s="46"/>
      <c r="U106" s="46"/>
      <c r="V106" s="46"/>
      <c r="W106" s="57"/>
      <c r="X106" s="46"/>
      <c r="Y106" s="46"/>
      <c r="Z106" s="46"/>
      <c r="AA106" s="46"/>
      <c r="AB106" s="46"/>
      <c r="AC106" s="57"/>
      <c r="AD106" s="46"/>
      <c r="AE106" s="46"/>
      <c r="AF106" s="46"/>
      <c r="AG106" s="46"/>
      <c r="AH106" s="46"/>
      <c r="AI106" s="57"/>
      <c r="AJ106" s="46"/>
      <c r="AK106" s="46"/>
      <c r="AL106" s="46"/>
      <c r="AM106" s="46"/>
      <c r="AN106" s="46"/>
      <c r="AO106" s="57"/>
      <c r="AP106" s="46"/>
      <c r="AQ106" s="46"/>
      <c r="AR106" s="46"/>
      <c r="AS106" s="46"/>
      <c r="AT106" s="46"/>
      <c r="AU106" s="57"/>
      <c r="AV106" s="46"/>
      <c r="AW106" s="46"/>
      <c r="AX106" s="46"/>
      <c r="AY106" s="46"/>
      <c r="AZ106" s="46"/>
      <c r="BA106" s="57"/>
      <c r="BB106" s="46"/>
      <c r="BC106" s="46"/>
      <c r="BD106" s="46"/>
      <c r="BE106" s="46"/>
      <c r="BF106" s="46"/>
      <c r="BG106" s="57"/>
      <c r="BH106" s="46"/>
      <c r="BI106" s="46"/>
      <c r="BJ106" s="46"/>
      <c r="BK106" s="46"/>
      <c r="BL106" s="46"/>
      <c r="BM106" s="57"/>
      <c r="BN106" s="46"/>
      <c r="BO106" s="46"/>
      <c r="BP106" s="46"/>
      <c r="BQ106" s="46"/>
      <c r="BR106" s="46"/>
      <c r="BS106" s="57"/>
      <c r="BT106" s="46"/>
      <c r="BU106" s="46"/>
      <c r="BV106" s="46"/>
      <c r="BW106" s="46"/>
      <c r="BX106" s="46"/>
      <c r="BY106" s="57"/>
      <c r="BZ106" s="46"/>
      <c r="CA106" s="46"/>
      <c r="CB106" s="46"/>
      <c r="CC106" s="46"/>
      <c r="CD106" s="46"/>
      <c r="CE106" s="57"/>
      <c r="CF106" s="46"/>
      <c r="CG106" s="46"/>
      <c r="CH106" s="46"/>
      <c r="CI106" s="46"/>
      <c r="CJ106" s="46"/>
      <c r="CK106" s="57"/>
      <c r="CL106" s="56"/>
      <c r="CM106" s="56"/>
      <c r="CN106" s="56"/>
      <c r="CO106" s="56"/>
      <c r="CP106" s="56"/>
      <c r="CQ106" s="56"/>
      <c r="CR106" s="37"/>
      <c r="CS106" s="39"/>
      <c r="CT106" s="53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>
        <f>+HLOOKUP('Reporte Evolución Mensual'!$F$2-2,$CR$2:$DC$251, Input!$DG106, FALSE)</f>
        <v>0</v>
      </c>
      <c r="DE106" s="39">
        <f>+HLOOKUP('Reporte Evolución Mensual'!$F$2-1,$CR$2:$DC$251, Input!$DG106, FALSE)</f>
        <v>0</v>
      </c>
      <c r="DF106" s="39">
        <f>+HLOOKUP('Reporte Evolución Mensual'!$F$2,$CR$2:$DC$371, Input!$DG106, FALSE)</f>
        <v>0</v>
      </c>
      <c r="DG106" s="40">
        <f t="shared" si="160"/>
        <v>106</v>
      </c>
      <c r="DH106" s="39"/>
      <c r="DI106" s="39"/>
      <c r="DJ106" s="39"/>
      <c r="DK106" s="39"/>
      <c r="DL106" s="39"/>
      <c r="DM106" s="39"/>
      <c r="DN106" s="39"/>
      <c r="DO106" s="58"/>
      <c r="DP106" s="58"/>
      <c r="DQ106" s="58"/>
      <c r="DR106" s="58"/>
      <c r="DS106" s="41"/>
      <c r="DT106" s="41"/>
      <c r="DU106" s="1"/>
      <c r="DV106" s="345"/>
    </row>
    <row r="107" spans="1:126" ht="15" customHeight="1" x14ac:dyDescent="0.3">
      <c r="A107" s="1" t="str">
        <f t="shared" si="137"/>
        <v>ADIFSE</v>
      </c>
      <c r="B107" s="1" t="str">
        <f t="shared" si="138"/>
        <v>ADIFSE</v>
      </c>
      <c r="C107" s="1" t="str">
        <f t="shared" si="139"/>
        <v>MAY</v>
      </c>
      <c r="D107" s="41" t="s">
        <v>108</v>
      </c>
      <c r="E107" s="64" t="str">
        <f>G108</f>
        <v>Financiamiento Gastos Corrientes</v>
      </c>
      <c r="F107" s="89"/>
      <c r="G107" s="1"/>
      <c r="H107" s="32"/>
      <c r="I107" s="32"/>
      <c r="J107" s="32"/>
      <c r="K107" s="48"/>
      <c r="L107" s="46"/>
      <c r="M107" s="46"/>
      <c r="N107" s="46"/>
      <c r="O107" s="46"/>
      <c r="P107" s="46"/>
      <c r="Q107" s="56"/>
      <c r="R107" s="46"/>
      <c r="S107" s="46"/>
      <c r="T107" s="46"/>
      <c r="U107" s="46"/>
      <c r="V107" s="46"/>
      <c r="W107" s="86"/>
      <c r="X107" s="46"/>
      <c r="Y107" s="46"/>
      <c r="Z107" s="46"/>
      <c r="AA107" s="46"/>
      <c r="AB107" s="46"/>
      <c r="AC107" s="86"/>
      <c r="AD107" s="46"/>
      <c r="AE107" s="46"/>
      <c r="AF107" s="46"/>
      <c r="AG107" s="46"/>
      <c r="AH107" s="46"/>
      <c r="AI107" s="86"/>
      <c r="AJ107" s="46"/>
      <c r="AK107" s="46"/>
      <c r="AL107" s="46"/>
      <c r="AM107" s="46"/>
      <c r="AN107" s="46"/>
      <c r="AO107" s="86"/>
      <c r="AP107" s="46"/>
      <c r="AQ107" s="46"/>
      <c r="AR107" s="46"/>
      <c r="AS107" s="46"/>
      <c r="AT107" s="46"/>
      <c r="AU107" s="86"/>
      <c r="AV107" s="46"/>
      <c r="AW107" s="46"/>
      <c r="AX107" s="46"/>
      <c r="AY107" s="46"/>
      <c r="AZ107" s="46"/>
      <c r="BA107" s="86"/>
      <c r="BB107" s="46"/>
      <c r="BC107" s="46"/>
      <c r="BD107" s="46"/>
      <c r="BE107" s="46"/>
      <c r="BF107" s="46"/>
      <c r="BG107" s="86"/>
      <c r="BH107" s="46"/>
      <c r="BI107" s="46"/>
      <c r="BJ107" s="46"/>
      <c r="BK107" s="46"/>
      <c r="BL107" s="46"/>
      <c r="BM107" s="86"/>
      <c r="BN107" s="46"/>
      <c r="BO107" s="46"/>
      <c r="BP107" s="46"/>
      <c r="BQ107" s="46"/>
      <c r="BR107" s="46"/>
      <c r="BS107" s="86"/>
      <c r="BT107" s="46"/>
      <c r="BU107" s="46"/>
      <c r="BV107" s="46"/>
      <c r="BW107" s="46"/>
      <c r="BX107" s="46"/>
      <c r="BY107" s="86"/>
      <c r="BZ107" s="46"/>
      <c r="CA107" s="46"/>
      <c r="CB107" s="46"/>
      <c r="CC107" s="46"/>
      <c r="CD107" s="46"/>
      <c r="CE107" s="86"/>
      <c r="CF107" s="46"/>
      <c r="CG107" s="46"/>
      <c r="CH107" s="46"/>
      <c r="CI107" s="46"/>
      <c r="CJ107" s="46"/>
      <c r="CK107" s="86"/>
      <c r="CL107" s="56"/>
      <c r="CM107" s="56"/>
      <c r="CN107" s="56"/>
      <c r="CO107" s="56"/>
      <c r="CP107" s="56"/>
      <c r="CQ107" s="56"/>
      <c r="CR107" s="37"/>
      <c r="CS107" s="39"/>
      <c r="CT107" s="53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>
        <f>+HLOOKUP('Reporte Evolución Mensual'!$F$2-2,$CR$2:$DC$251, Input!$DG107, FALSE)</f>
        <v>31000000</v>
      </c>
      <c r="DE107" s="39">
        <f>+HLOOKUP('Reporte Evolución Mensual'!$F$2-1,$CR$2:$DC$251, Input!$DG107, FALSE)</f>
        <v>45380000</v>
      </c>
      <c r="DF107" s="39">
        <f>+HLOOKUP('Reporte Evolución Mensual'!$F$2,$CR$2:$DC$371, Input!$DG107, FALSE)</f>
        <v>62075647.650901705</v>
      </c>
      <c r="DG107" s="40">
        <f t="shared" si="160"/>
        <v>107</v>
      </c>
      <c r="DH107" s="39"/>
      <c r="DI107" s="39"/>
      <c r="DJ107" s="39"/>
      <c r="DK107" s="39"/>
      <c r="DL107" s="39"/>
      <c r="DM107" s="39"/>
      <c r="DN107" s="39"/>
      <c r="DO107" s="58"/>
      <c r="DP107" s="58"/>
      <c r="DQ107" s="58"/>
      <c r="DR107" s="58"/>
      <c r="DS107" s="41"/>
      <c r="DT107" s="41"/>
      <c r="DU107" s="1"/>
      <c r="DV107" s="345"/>
    </row>
    <row r="108" spans="1:126" ht="15" customHeight="1" x14ac:dyDescent="0.3">
      <c r="A108" s="1" t="str">
        <f t="shared" si="137"/>
        <v>ADIFSE</v>
      </c>
      <c r="B108" s="1" t="str">
        <f t="shared" si="138"/>
        <v>ADIFSE</v>
      </c>
      <c r="C108" s="1" t="str">
        <f t="shared" si="139"/>
        <v>MAY</v>
      </c>
      <c r="D108" s="1" t="s">
        <v>163</v>
      </c>
      <c r="E108" s="30" t="str">
        <f>H108</f>
        <v>Tesoro y Crédito Interno</v>
      </c>
      <c r="F108" s="90" t="s">
        <v>272</v>
      </c>
      <c r="G108" s="32" t="s">
        <v>273</v>
      </c>
      <c r="H108" s="32" t="s">
        <v>274</v>
      </c>
      <c r="I108" s="32" t="s">
        <v>274</v>
      </c>
      <c r="J108" s="7" t="s">
        <v>166</v>
      </c>
      <c r="K108" s="51">
        <v>281131640</v>
      </c>
      <c r="L108" s="38">
        <v>590000000</v>
      </c>
      <c r="M108" s="91"/>
      <c r="N108" s="91"/>
      <c r="O108" s="91"/>
      <c r="P108" s="91"/>
      <c r="Q108" s="36">
        <f t="shared" ref="Q108:Q113" si="269">SUM(L108:P108)</f>
        <v>590000000</v>
      </c>
      <c r="R108" s="38">
        <f>+R64</f>
        <v>61838433.030000001</v>
      </c>
      <c r="S108" s="91"/>
      <c r="T108" s="91"/>
      <c r="U108" s="91"/>
      <c r="V108" s="91"/>
      <c r="W108" s="36">
        <f t="shared" si="166"/>
        <v>61838433.030000001</v>
      </c>
      <c r="X108" s="38">
        <f>+X23</f>
        <v>45380000</v>
      </c>
      <c r="Y108" s="91"/>
      <c r="Z108" s="91"/>
      <c r="AA108" s="91"/>
      <c r="AB108" s="91"/>
      <c r="AC108" s="36">
        <f t="shared" ref="AC108:AC113" si="270">SUM(X108:AB108)</f>
        <v>45380000</v>
      </c>
      <c r="AD108" s="38">
        <f>+AD23</f>
        <v>31000000</v>
      </c>
      <c r="AE108" s="91"/>
      <c r="AF108" s="91"/>
      <c r="AG108" s="91"/>
      <c r="AH108" s="91"/>
      <c r="AI108" s="36">
        <f t="shared" ref="AI108:AI113" si="271">SUM(AD108:AH108)</f>
        <v>31000000</v>
      </c>
      <c r="AJ108" s="38">
        <f>+AJ23</f>
        <v>45380000</v>
      </c>
      <c r="AK108" s="91"/>
      <c r="AL108" s="91"/>
      <c r="AM108" s="91"/>
      <c r="AN108" s="91"/>
      <c r="AO108" s="36">
        <f t="shared" ref="AO108:AO113" si="272">SUM(AJ108:AN108)</f>
        <v>45380000</v>
      </c>
      <c r="AP108" s="38">
        <f>+AP23</f>
        <v>62075647.650901705</v>
      </c>
      <c r="AQ108" s="91"/>
      <c r="AR108" s="91"/>
      <c r="AS108" s="91"/>
      <c r="AT108" s="91"/>
      <c r="AU108" s="36">
        <f t="shared" ref="AU108:AU113" si="273">SUM(AP108:AT108)</f>
        <v>62075647.650901705</v>
      </c>
      <c r="AV108" s="38">
        <f>+AV23</f>
        <v>47642159.007278219</v>
      </c>
      <c r="AW108" s="91"/>
      <c r="AX108" s="91"/>
      <c r="AY108" s="91"/>
      <c r="AZ108" s="91"/>
      <c r="BA108" s="36">
        <f t="shared" ref="BA108:BA113" si="274">SUM(AV108:AZ108)</f>
        <v>47642159.007278219</v>
      </c>
      <c r="BB108" s="38">
        <v>0</v>
      </c>
      <c r="BC108" s="91"/>
      <c r="BD108" s="91"/>
      <c r="BE108" s="91"/>
      <c r="BF108" s="91"/>
      <c r="BG108" s="36">
        <f t="shared" ref="BG108:BG113" si="275">SUM(BB108:BF108)</f>
        <v>0</v>
      </c>
      <c r="BH108" s="38">
        <v>0</v>
      </c>
      <c r="BI108" s="91"/>
      <c r="BJ108" s="91"/>
      <c r="BK108" s="91"/>
      <c r="BL108" s="91"/>
      <c r="BM108" s="36">
        <f t="shared" ref="BM108:BM113" si="276">SUM(BH108:BL108)</f>
        <v>0</v>
      </c>
      <c r="BN108" s="38">
        <v>0</v>
      </c>
      <c r="BO108" s="91"/>
      <c r="BP108" s="91"/>
      <c r="BQ108" s="91"/>
      <c r="BR108" s="91"/>
      <c r="BS108" s="36">
        <f t="shared" ref="BS108:BS113" si="277">SUM(BN108:BR108)</f>
        <v>0</v>
      </c>
      <c r="BT108" s="38">
        <v>0</v>
      </c>
      <c r="BU108" s="91"/>
      <c r="BV108" s="91"/>
      <c r="BW108" s="91"/>
      <c r="BX108" s="91"/>
      <c r="BY108" s="36">
        <f t="shared" ref="BY108:BY113" si="278">SUM(BT108:BX108)</f>
        <v>0</v>
      </c>
      <c r="BZ108" s="38">
        <v>0</v>
      </c>
      <c r="CA108" s="91"/>
      <c r="CB108" s="91"/>
      <c r="CC108" s="91"/>
      <c r="CD108" s="91"/>
      <c r="CE108" s="36">
        <f t="shared" ref="CE108:CE113" si="279">SUM(BZ108:CD108)</f>
        <v>0</v>
      </c>
      <c r="CF108" s="38">
        <v>0</v>
      </c>
      <c r="CG108" s="91"/>
      <c r="CH108" s="91"/>
      <c r="CI108" s="91"/>
      <c r="CJ108" s="91"/>
      <c r="CK108" s="36">
        <f t="shared" ref="CK108:CK113" si="280">SUM(CF108:CJ108)</f>
        <v>0</v>
      </c>
      <c r="CL108" s="67">
        <f t="shared" si="146"/>
        <v>293316239.68817991</v>
      </c>
      <c r="CM108" s="67">
        <f t="shared" si="146"/>
        <v>0</v>
      </c>
      <c r="CN108" s="67">
        <f t="shared" si="146"/>
        <v>0</v>
      </c>
      <c r="CO108" s="67">
        <f t="shared" si="141"/>
        <v>0</v>
      </c>
      <c r="CP108" s="67">
        <f t="shared" si="141"/>
        <v>0</v>
      </c>
      <c r="CQ108" s="67">
        <f t="shared" si="141"/>
        <v>293316239.68817991</v>
      </c>
      <c r="CR108" s="37">
        <f t="shared" si="212"/>
        <v>61838433.030000001</v>
      </c>
      <c r="CS108" s="39">
        <f t="shared" si="241"/>
        <v>45380000</v>
      </c>
      <c r="CT108" s="53">
        <f t="shared" si="242"/>
        <v>31000000</v>
      </c>
      <c r="CU108" s="39">
        <f t="shared" si="243"/>
        <v>45380000</v>
      </c>
      <c r="CV108" s="39">
        <f t="shared" si="244"/>
        <v>62075647.650901705</v>
      </c>
      <c r="CW108" s="39">
        <f t="shared" si="245"/>
        <v>47642159.007278219</v>
      </c>
      <c r="CX108" s="39">
        <f t="shared" si="246"/>
        <v>0</v>
      </c>
      <c r="CY108" s="39">
        <f t="shared" si="247"/>
        <v>0</v>
      </c>
      <c r="CZ108" s="39">
        <f t="shared" si="248"/>
        <v>0</v>
      </c>
      <c r="DA108" s="39">
        <f t="shared" si="249"/>
        <v>0</v>
      </c>
      <c r="DB108" s="39">
        <f t="shared" si="250"/>
        <v>0</v>
      </c>
      <c r="DC108" s="39">
        <f t="shared" si="251"/>
        <v>0</v>
      </c>
      <c r="DD108" s="39">
        <f>+HLOOKUP('Reporte Evolución Mensual'!$F$2-2,$CR$2:$DC$251, Input!$DG108, FALSE)</f>
        <v>0</v>
      </c>
      <c r="DE108" s="39">
        <f>+HLOOKUP('Reporte Evolución Mensual'!$F$2-1,$CR$2:$DC$251, Input!$DG108, FALSE)</f>
        <v>0</v>
      </c>
      <c r="DF108" s="39">
        <f>+HLOOKUP('Reporte Evolución Mensual'!$F$2,$CR$2:$DC$371, Input!$DG108, FALSE)</f>
        <v>0</v>
      </c>
      <c r="DG108" s="40">
        <f t="shared" si="160"/>
        <v>108</v>
      </c>
      <c r="DH108" s="39"/>
      <c r="DI108" s="37">
        <f t="shared" ref="DI108:DI113" si="281">+CR108</f>
        <v>61838433.030000001</v>
      </c>
      <c r="DJ108" s="37">
        <f t="shared" ref="DJ108:DT113" si="282">+DI108+CS108</f>
        <v>107218433.03</v>
      </c>
      <c r="DK108" s="37">
        <f t="shared" si="282"/>
        <v>138218433.03</v>
      </c>
      <c r="DL108" s="37">
        <f t="shared" si="282"/>
        <v>183598433.03</v>
      </c>
      <c r="DM108" s="37">
        <f t="shared" si="282"/>
        <v>245674080.68090171</v>
      </c>
      <c r="DN108" s="37">
        <f t="shared" si="282"/>
        <v>293316239.68817991</v>
      </c>
      <c r="DO108" s="37">
        <f t="shared" si="282"/>
        <v>293316239.68817991</v>
      </c>
      <c r="DP108" s="37">
        <f t="shared" si="282"/>
        <v>293316239.68817991</v>
      </c>
      <c r="DQ108" s="37">
        <f t="shared" si="282"/>
        <v>293316239.68817991</v>
      </c>
      <c r="DR108" s="37">
        <f t="shared" si="282"/>
        <v>293316239.68817991</v>
      </c>
      <c r="DS108" s="37">
        <f t="shared" si="282"/>
        <v>293316239.68817991</v>
      </c>
      <c r="DT108" s="37">
        <f t="shared" si="282"/>
        <v>293316239.68817991</v>
      </c>
      <c r="DU108" s="1"/>
      <c r="DV108" s="345" t="s">
        <v>163</v>
      </c>
    </row>
    <row r="109" spans="1:126" ht="15" customHeight="1" x14ac:dyDescent="0.3">
      <c r="A109" s="1" t="str">
        <f t="shared" si="137"/>
        <v>ADIFSE</v>
      </c>
      <c r="B109" s="1" t="str">
        <f t="shared" si="138"/>
        <v>ADIFSE</v>
      </c>
      <c r="C109" s="1" t="str">
        <f t="shared" si="139"/>
        <v>MAY</v>
      </c>
      <c r="D109" s="1" t="s">
        <v>163</v>
      </c>
      <c r="E109" s="30" t="str">
        <f>H109</f>
        <v>Recursos Propios</v>
      </c>
      <c r="F109" s="90" t="s">
        <v>276</v>
      </c>
      <c r="G109" s="32" t="s">
        <v>273</v>
      </c>
      <c r="H109" s="32" t="s">
        <v>275</v>
      </c>
      <c r="I109" s="32" t="s">
        <v>275</v>
      </c>
      <c r="J109" s="32" t="s">
        <v>166</v>
      </c>
      <c r="K109" s="51"/>
      <c r="L109" s="38"/>
      <c r="M109" s="34">
        <f>+M64</f>
        <v>120000000</v>
      </c>
      <c r="N109" s="34"/>
      <c r="O109" s="91"/>
      <c r="P109" s="91"/>
      <c r="Q109" s="36">
        <f t="shared" si="269"/>
        <v>120000000</v>
      </c>
      <c r="R109" s="38"/>
      <c r="S109" s="34">
        <f>+S64</f>
        <v>0</v>
      </c>
      <c r="T109" s="34"/>
      <c r="U109" s="91"/>
      <c r="V109" s="91"/>
      <c r="W109" s="36">
        <f t="shared" si="166"/>
        <v>0</v>
      </c>
      <c r="X109" s="38"/>
      <c r="Y109" s="34">
        <f>+Y16</f>
        <v>8100000</v>
      </c>
      <c r="Z109" s="34"/>
      <c r="AA109" s="91"/>
      <c r="AB109" s="91"/>
      <c r="AC109" s="36">
        <f t="shared" si="270"/>
        <v>8100000</v>
      </c>
      <c r="AD109" s="38"/>
      <c r="AE109" s="449"/>
      <c r="AF109" s="34"/>
      <c r="AG109" s="91"/>
      <c r="AH109" s="91"/>
      <c r="AI109" s="36">
        <f t="shared" si="271"/>
        <v>0</v>
      </c>
      <c r="AJ109" s="38"/>
      <c r="AK109" s="449"/>
      <c r="AL109" s="34"/>
      <c r="AM109" s="91"/>
      <c r="AN109" s="91"/>
      <c r="AO109" s="36">
        <f t="shared" si="272"/>
        <v>0</v>
      </c>
      <c r="AP109" s="38"/>
      <c r="AQ109" s="449"/>
      <c r="AR109" s="34"/>
      <c r="AS109" s="91"/>
      <c r="AT109" s="91"/>
      <c r="AU109" s="36">
        <f t="shared" si="273"/>
        <v>0</v>
      </c>
      <c r="AV109" s="38"/>
      <c r="AW109" s="449"/>
      <c r="AX109" s="34"/>
      <c r="AY109" s="91"/>
      <c r="AZ109" s="91"/>
      <c r="BA109" s="36">
        <f t="shared" si="274"/>
        <v>0</v>
      </c>
      <c r="BB109" s="38"/>
      <c r="BC109" s="449"/>
      <c r="BD109" s="34"/>
      <c r="BE109" s="91"/>
      <c r="BF109" s="91"/>
      <c r="BG109" s="36">
        <f t="shared" si="275"/>
        <v>0</v>
      </c>
      <c r="BH109" s="38"/>
      <c r="BI109" s="449"/>
      <c r="BJ109" s="34"/>
      <c r="BK109" s="91"/>
      <c r="BL109" s="91"/>
      <c r="BM109" s="36">
        <f t="shared" si="276"/>
        <v>0</v>
      </c>
      <c r="BN109" s="38"/>
      <c r="BO109" s="449"/>
      <c r="BP109" s="34"/>
      <c r="BQ109" s="91"/>
      <c r="BR109" s="91"/>
      <c r="BS109" s="36">
        <f t="shared" si="277"/>
        <v>0</v>
      </c>
      <c r="BT109" s="38"/>
      <c r="BU109" s="449"/>
      <c r="BV109" s="34"/>
      <c r="BW109" s="91"/>
      <c r="BX109" s="91"/>
      <c r="BY109" s="36">
        <f t="shared" si="278"/>
        <v>0</v>
      </c>
      <c r="BZ109" s="38"/>
      <c r="CA109" s="449"/>
      <c r="CB109" s="34"/>
      <c r="CC109" s="91"/>
      <c r="CD109" s="91"/>
      <c r="CE109" s="36">
        <f t="shared" si="279"/>
        <v>0</v>
      </c>
      <c r="CF109" s="38"/>
      <c r="CG109" s="449"/>
      <c r="CH109" s="34"/>
      <c r="CI109" s="91"/>
      <c r="CJ109" s="91"/>
      <c r="CK109" s="36">
        <f t="shared" si="280"/>
        <v>0</v>
      </c>
      <c r="CL109" s="67">
        <f t="shared" si="146"/>
        <v>0</v>
      </c>
      <c r="CM109" s="67">
        <f t="shared" si="146"/>
        <v>8100000</v>
      </c>
      <c r="CN109" s="67">
        <f t="shared" si="146"/>
        <v>0</v>
      </c>
      <c r="CO109" s="67">
        <f t="shared" si="141"/>
        <v>0</v>
      </c>
      <c r="CP109" s="67">
        <f t="shared" si="141"/>
        <v>0</v>
      </c>
      <c r="CQ109" s="67">
        <f t="shared" si="141"/>
        <v>8100000</v>
      </c>
      <c r="CR109" s="37">
        <f t="shared" si="212"/>
        <v>0</v>
      </c>
      <c r="CS109" s="39">
        <f t="shared" si="241"/>
        <v>8100000</v>
      </c>
      <c r="CT109" s="53">
        <f t="shared" si="242"/>
        <v>0</v>
      </c>
      <c r="CU109" s="39">
        <f t="shared" si="243"/>
        <v>0</v>
      </c>
      <c r="CV109" s="39">
        <f t="shared" si="244"/>
        <v>0</v>
      </c>
      <c r="CW109" s="39">
        <f t="shared" si="245"/>
        <v>0</v>
      </c>
      <c r="CX109" s="39">
        <f t="shared" si="246"/>
        <v>0</v>
      </c>
      <c r="CY109" s="39">
        <f t="shared" si="247"/>
        <v>0</v>
      </c>
      <c r="CZ109" s="39">
        <f t="shared" si="248"/>
        <v>0</v>
      </c>
      <c r="DA109" s="39">
        <f t="shared" si="249"/>
        <v>0</v>
      </c>
      <c r="DB109" s="39">
        <f t="shared" si="250"/>
        <v>0</v>
      </c>
      <c r="DC109" s="39">
        <f t="shared" si="251"/>
        <v>0</v>
      </c>
      <c r="DD109" s="39">
        <f>+HLOOKUP('Reporte Evolución Mensual'!$F$2-2,$CR$2:$DC$251, Input!$DG109, FALSE)</f>
        <v>0</v>
      </c>
      <c r="DE109" s="39">
        <f>+HLOOKUP('Reporte Evolución Mensual'!$F$2-1,$CR$2:$DC$251, Input!$DG109, FALSE)</f>
        <v>0</v>
      </c>
      <c r="DF109" s="39">
        <f>+HLOOKUP('Reporte Evolución Mensual'!$F$2,$CR$2:$DC$371, Input!$DG109, FALSE)</f>
        <v>0</v>
      </c>
      <c r="DG109" s="40">
        <f t="shared" si="160"/>
        <v>109</v>
      </c>
      <c r="DH109" s="39"/>
      <c r="DI109" s="37">
        <f t="shared" si="281"/>
        <v>0</v>
      </c>
      <c r="DJ109" s="37">
        <f t="shared" si="282"/>
        <v>8100000</v>
      </c>
      <c r="DK109" s="37">
        <f t="shared" si="282"/>
        <v>8100000</v>
      </c>
      <c r="DL109" s="37">
        <f t="shared" si="282"/>
        <v>8100000</v>
      </c>
      <c r="DM109" s="37">
        <f t="shared" si="282"/>
        <v>8100000</v>
      </c>
      <c r="DN109" s="37">
        <f t="shared" si="282"/>
        <v>8100000</v>
      </c>
      <c r="DO109" s="37">
        <f t="shared" si="282"/>
        <v>8100000</v>
      </c>
      <c r="DP109" s="37">
        <f t="shared" si="282"/>
        <v>8100000</v>
      </c>
      <c r="DQ109" s="37">
        <f t="shared" si="282"/>
        <v>8100000</v>
      </c>
      <c r="DR109" s="37">
        <f t="shared" si="282"/>
        <v>8100000</v>
      </c>
      <c r="DS109" s="37">
        <f t="shared" si="282"/>
        <v>8100000</v>
      </c>
      <c r="DT109" s="37">
        <f t="shared" si="282"/>
        <v>8100000</v>
      </c>
      <c r="DU109" s="1"/>
      <c r="DV109" s="345" t="s">
        <v>163</v>
      </c>
    </row>
    <row r="110" spans="1:126" ht="15" customHeight="1" x14ac:dyDescent="0.3">
      <c r="A110" s="1" t="str">
        <f t="shared" si="137"/>
        <v>ADIFSE</v>
      </c>
      <c r="B110" s="1" t="str">
        <f t="shared" si="138"/>
        <v>ADIFSE</v>
      </c>
      <c r="C110" s="1" t="str">
        <f t="shared" si="139"/>
        <v>MAY</v>
      </c>
      <c r="D110" s="1" t="s">
        <v>163</v>
      </c>
      <c r="E110" s="30" t="str">
        <f>H110</f>
        <v>Recursos con afectación</v>
      </c>
      <c r="F110" s="90" t="s">
        <v>278</v>
      </c>
      <c r="G110" s="32" t="s">
        <v>273</v>
      </c>
      <c r="H110" s="32" t="s">
        <v>279</v>
      </c>
      <c r="I110" s="32" t="s">
        <v>279</v>
      </c>
      <c r="J110" s="32" t="s">
        <v>166</v>
      </c>
      <c r="K110" s="51"/>
      <c r="L110" s="38"/>
      <c r="M110" s="34"/>
      <c r="N110" s="34">
        <f>+N64</f>
        <v>0</v>
      </c>
      <c r="O110" s="91"/>
      <c r="P110" s="91"/>
      <c r="Q110" s="36">
        <f t="shared" si="269"/>
        <v>0</v>
      </c>
      <c r="R110" s="38"/>
      <c r="S110" s="34"/>
      <c r="T110" s="34">
        <f>+T64</f>
        <v>0</v>
      </c>
      <c r="U110" s="91"/>
      <c r="V110" s="91"/>
      <c r="W110" s="36">
        <f t="shared" si="166"/>
        <v>0</v>
      </c>
      <c r="X110" s="38"/>
      <c r="Y110" s="34"/>
      <c r="Z110" s="34">
        <f>+Z64</f>
        <v>0</v>
      </c>
      <c r="AA110" s="91"/>
      <c r="AB110" s="91"/>
      <c r="AC110" s="36">
        <f t="shared" si="270"/>
        <v>0</v>
      </c>
      <c r="AD110" s="38"/>
      <c r="AE110" s="34"/>
      <c r="AF110" s="34">
        <f>+AF64</f>
        <v>0</v>
      </c>
      <c r="AG110" s="451"/>
      <c r="AH110" s="91"/>
      <c r="AI110" s="36">
        <f t="shared" si="271"/>
        <v>0</v>
      </c>
      <c r="AJ110" s="38"/>
      <c r="AK110" s="34"/>
      <c r="AL110" s="34">
        <f>+AL64</f>
        <v>0</v>
      </c>
      <c r="AM110" s="91"/>
      <c r="AN110" s="91"/>
      <c r="AO110" s="36">
        <f t="shared" si="272"/>
        <v>0</v>
      </c>
      <c r="AP110" s="38"/>
      <c r="AQ110" s="34"/>
      <c r="AR110" s="34">
        <f>+AR64</f>
        <v>0</v>
      </c>
      <c r="AS110" s="91"/>
      <c r="AT110" s="91"/>
      <c r="AU110" s="36">
        <f t="shared" si="273"/>
        <v>0</v>
      </c>
      <c r="AV110" s="38"/>
      <c r="AW110" s="34"/>
      <c r="AX110" s="34">
        <f>+AX64</f>
        <v>0</v>
      </c>
      <c r="AY110" s="91"/>
      <c r="AZ110" s="91"/>
      <c r="BA110" s="36">
        <f t="shared" si="274"/>
        <v>0</v>
      </c>
      <c r="BB110" s="38"/>
      <c r="BC110" s="34"/>
      <c r="BD110" s="34">
        <f>+BD64</f>
        <v>0</v>
      </c>
      <c r="BE110" s="91"/>
      <c r="BF110" s="91"/>
      <c r="BG110" s="36">
        <f t="shared" si="275"/>
        <v>0</v>
      </c>
      <c r="BH110" s="38"/>
      <c r="BI110" s="34"/>
      <c r="BJ110" s="34">
        <f>+BJ64</f>
        <v>0</v>
      </c>
      <c r="BK110" s="91"/>
      <c r="BL110" s="91"/>
      <c r="BM110" s="36">
        <f t="shared" si="276"/>
        <v>0</v>
      </c>
      <c r="BN110" s="38"/>
      <c r="BO110" s="34"/>
      <c r="BP110" s="34">
        <f>+BP64</f>
        <v>0</v>
      </c>
      <c r="BQ110" s="91"/>
      <c r="BR110" s="91"/>
      <c r="BS110" s="36">
        <f t="shared" si="277"/>
        <v>0</v>
      </c>
      <c r="BT110" s="38"/>
      <c r="BU110" s="34"/>
      <c r="BV110" s="34">
        <f>+BV64</f>
        <v>0</v>
      </c>
      <c r="BW110" s="91"/>
      <c r="BX110" s="91"/>
      <c r="BY110" s="36">
        <f t="shared" si="278"/>
        <v>0</v>
      </c>
      <c r="BZ110" s="38"/>
      <c r="CA110" s="34"/>
      <c r="CB110" s="34">
        <f>+CB64</f>
        <v>0</v>
      </c>
      <c r="CC110" s="91"/>
      <c r="CD110" s="91"/>
      <c r="CE110" s="36">
        <f t="shared" si="279"/>
        <v>0</v>
      </c>
      <c r="CF110" s="38"/>
      <c r="CG110" s="34"/>
      <c r="CH110" s="34">
        <f>+CH64</f>
        <v>0</v>
      </c>
      <c r="CI110" s="91"/>
      <c r="CJ110" s="91"/>
      <c r="CK110" s="36">
        <f t="shared" si="280"/>
        <v>0</v>
      </c>
      <c r="CL110" s="67">
        <f t="shared" si="146"/>
        <v>0</v>
      </c>
      <c r="CM110" s="67">
        <f t="shared" si="146"/>
        <v>0</v>
      </c>
      <c r="CN110" s="67">
        <f t="shared" si="146"/>
        <v>0</v>
      </c>
      <c r="CO110" s="67">
        <f t="shared" si="141"/>
        <v>0</v>
      </c>
      <c r="CP110" s="67">
        <f t="shared" si="141"/>
        <v>0</v>
      </c>
      <c r="CQ110" s="67">
        <f t="shared" si="141"/>
        <v>0</v>
      </c>
      <c r="CR110" s="37">
        <f t="shared" si="212"/>
        <v>0</v>
      </c>
      <c r="CS110" s="39">
        <f t="shared" si="241"/>
        <v>0</v>
      </c>
      <c r="CT110" s="53">
        <f t="shared" si="242"/>
        <v>0</v>
      </c>
      <c r="CU110" s="39">
        <f t="shared" si="243"/>
        <v>0</v>
      </c>
      <c r="CV110" s="39">
        <f t="shared" si="244"/>
        <v>0</v>
      </c>
      <c r="CW110" s="39">
        <f t="shared" si="245"/>
        <v>0</v>
      </c>
      <c r="CX110" s="39">
        <f t="shared" si="246"/>
        <v>0</v>
      </c>
      <c r="CY110" s="39">
        <f t="shared" si="247"/>
        <v>0</v>
      </c>
      <c r="CZ110" s="39">
        <f t="shared" si="248"/>
        <v>0</v>
      </c>
      <c r="DA110" s="39">
        <f t="shared" si="249"/>
        <v>0</v>
      </c>
      <c r="DB110" s="39">
        <f t="shared" si="250"/>
        <v>0</v>
      </c>
      <c r="DC110" s="39">
        <f t="shared" si="251"/>
        <v>0</v>
      </c>
      <c r="DD110" s="39">
        <f>+HLOOKUP('Reporte Evolución Mensual'!$F$2-2,$CR$2:$DC$251, Input!$DG110, FALSE)</f>
        <v>0</v>
      </c>
      <c r="DE110" s="39">
        <f>+HLOOKUP('Reporte Evolución Mensual'!$F$2-1,$CR$2:$DC$251, Input!$DG110, FALSE)</f>
        <v>0</v>
      </c>
      <c r="DF110" s="39">
        <f>+HLOOKUP('Reporte Evolución Mensual'!$F$2,$CR$2:$DC$371, Input!$DG110, FALSE)</f>
        <v>0</v>
      </c>
      <c r="DG110" s="40">
        <f t="shared" si="160"/>
        <v>110</v>
      </c>
      <c r="DH110" s="39"/>
      <c r="DI110" s="37">
        <f t="shared" si="281"/>
        <v>0</v>
      </c>
      <c r="DJ110" s="37">
        <f t="shared" si="282"/>
        <v>0</v>
      </c>
      <c r="DK110" s="37">
        <f t="shared" si="282"/>
        <v>0</v>
      </c>
      <c r="DL110" s="37">
        <f t="shared" si="282"/>
        <v>0</v>
      </c>
      <c r="DM110" s="37">
        <f t="shared" si="282"/>
        <v>0</v>
      </c>
      <c r="DN110" s="37">
        <f t="shared" si="282"/>
        <v>0</v>
      </c>
      <c r="DO110" s="37">
        <f t="shared" si="282"/>
        <v>0</v>
      </c>
      <c r="DP110" s="37">
        <f t="shared" si="282"/>
        <v>0</v>
      </c>
      <c r="DQ110" s="37">
        <f t="shared" si="282"/>
        <v>0</v>
      </c>
      <c r="DR110" s="37">
        <f t="shared" si="282"/>
        <v>0</v>
      </c>
      <c r="DS110" s="37">
        <f t="shared" si="282"/>
        <v>0</v>
      </c>
      <c r="DT110" s="37">
        <f t="shared" si="282"/>
        <v>0</v>
      </c>
      <c r="DU110" s="1"/>
      <c r="DV110" s="345" t="s">
        <v>108</v>
      </c>
    </row>
    <row r="111" spans="1:126" ht="15" customHeight="1" x14ac:dyDescent="0.3">
      <c r="A111" s="1" t="str">
        <f t="shared" si="137"/>
        <v>ADIFSE</v>
      </c>
      <c r="B111" s="1" t="str">
        <f t="shared" si="138"/>
        <v>ADIFSE</v>
      </c>
      <c r="C111" s="1" t="str">
        <f t="shared" si="139"/>
        <v>MAY</v>
      </c>
      <c r="D111" s="1" t="s">
        <v>163</v>
      </c>
      <c r="E111" s="30" t="str">
        <f>H111</f>
        <v>Otros</v>
      </c>
      <c r="F111" s="90" t="s">
        <v>280</v>
      </c>
      <c r="G111" s="32" t="s">
        <v>273</v>
      </c>
      <c r="H111" s="32" t="s">
        <v>202</v>
      </c>
      <c r="I111" s="32" t="s">
        <v>202</v>
      </c>
      <c r="J111" s="32" t="s">
        <v>166</v>
      </c>
      <c r="K111" s="51">
        <v>150000000</v>
      </c>
      <c r="L111" s="34"/>
      <c r="M111" s="34"/>
      <c r="N111" s="34"/>
      <c r="O111" s="38">
        <f>+O64</f>
        <v>0</v>
      </c>
      <c r="P111" s="34"/>
      <c r="Q111" s="36">
        <f t="shared" si="269"/>
        <v>0</v>
      </c>
      <c r="R111" s="34"/>
      <c r="S111" s="34"/>
      <c r="T111" s="34"/>
      <c r="U111" s="38">
        <f>+U64</f>
        <v>0</v>
      </c>
      <c r="V111" s="34"/>
      <c r="W111" s="36">
        <f t="shared" si="166"/>
        <v>0</v>
      </c>
      <c r="X111" s="34"/>
      <c r="Y111" s="34"/>
      <c r="Z111" s="34"/>
      <c r="AA111" s="38">
        <f>+AA25</f>
        <v>15000000</v>
      </c>
      <c r="AB111" s="34"/>
      <c r="AC111" s="36">
        <f t="shared" si="270"/>
        <v>15000000</v>
      </c>
      <c r="AD111" s="34"/>
      <c r="AE111" s="34"/>
      <c r="AF111" s="34"/>
      <c r="AG111" s="448"/>
      <c r="AH111" s="34"/>
      <c r="AI111" s="36">
        <f t="shared" si="271"/>
        <v>0</v>
      </c>
      <c r="AJ111" s="34"/>
      <c r="AK111" s="34"/>
      <c r="AL111" s="34"/>
      <c r="AM111" s="449"/>
      <c r="AN111" s="34"/>
      <c r="AO111" s="36">
        <f t="shared" si="272"/>
        <v>0</v>
      </c>
      <c r="AP111" s="34"/>
      <c r="AQ111" s="34"/>
      <c r="AR111" s="34"/>
      <c r="AS111" s="38"/>
      <c r="AT111" s="34"/>
      <c r="AU111" s="36">
        <f t="shared" si="273"/>
        <v>0</v>
      </c>
      <c r="AV111" s="34"/>
      <c r="AW111" s="34"/>
      <c r="AX111" s="34"/>
      <c r="AY111" s="38">
        <f>+AY64</f>
        <v>14999591.99147591</v>
      </c>
      <c r="AZ111" s="34"/>
      <c r="BA111" s="36">
        <f t="shared" si="274"/>
        <v>14999591.99147591</v>
      </c>
      <c r="BB111" s="34"/>
      <c r="BC111" s="34"/>
      <c r="BD111" s="34"/>
      <c r="BE111" s="38">
        <f>+BE64</f>
        <v>15000291.991475906</v>
      </c>
      <c r="BF111" s="34"/>
      <c r="BG111" s="36">
        <f t="shared" si="275"/>
        <v>15000291.991475906</v>
      </c>
      <c r="BH111" s="34"/>
      <c r="BI111" s="34"/>
      <c r="BJ111" s="34"/>
      <c r="BK111" s="38">
        <f>+BK64</f>
        <v>20000291.991475906</v>
      </c>
      <c r="BL111" s="34"/>
      <c r="BM111" s="36">
        <f t="shared" si="276"/>
        <v>20000291.991475906</v>
      </c>
      <c r="BN111" s="34"/>
      <c r="BO111" s="34"/>
      <c r="BP111" s="34"/>
      <c r="BQ111" s="38">
        <f>+BQ64</f>
        <v>30000262.81147591</v>
      </c>
      <c r="BR111" s="34"/>
      <c r="BS111" s="36">
        <f t="shared" si="277"/>
        <v>30000262.81147591</v>
      </c>
      <c r="BT111" s="34"/>
      <c r="BU111" s="34"/>
      <c r="BV111" s="34"/>
      <c r="BW111" s="38">
        <f>+BW64</f>
        <v>30000262.81147591</v>
      </c>
      <c r="BX111" s="34"/>
      <c r="BY111" s="36">
        <f t="shared" si="278"/>
        <v>30000262.81147591</v>
      </c>
      <c r="BZ111" s="34"/>
      <c r="CA111" s="34"/>
      <c r="CB111" s="34"/>
      <c r="CC111" s="38">
        <f>+CC64</f>
        <v>30000262.81147591</v>
      </c>
      <c r="CD111" s="34"/>
      <c r="CE111" s="36">
        <f t="shared" si="279"/>
        <v>30000262.81147591</v>
      </c>
      <c r="CF111" s="34"/>
      <c r="CG111" s="34"/>
      <c r="CH111" s="34"/>
      <c r="CI111" s="38">
        <f>+CI64</f>
        <v>30000262.81147591</v>
      </c>
      <c r="CJ111" s="34"/>
      <c r="CK111" s="36">
        <f t="shared" si="280"/>
        <v>30000262.81147591</v>
      </c>
      <c r="CL111" s="67">
        <f t="shared" si="146"/>
        <v>0</v>
      </c>
      <c r="CM111" s="67">
        <f t="shared" si="146"/>
        <v>0</v>
      </c>
      <c r="CN111" s="67">
        <f t="shared" si="146"/>
        <v>0</v>
      </c>
      <c r="CO111" s="67">
        <f t="shared" si="141"/>
        <v>185001227.22033134</v>
      </c>
      <c r="CP111" s="67">
        <f t="shared" si="141"/>
        <v>0</v>
      </c>
      <c r="CQ111" s="67">
        <f t="shared" si="141"/>
        <v>185001227.22033134</v>
      </c>
      <c r="CR111" s="37">
        <f t="shared" si="212"/>
        <v>0</v>
      </c>
      <c r="CS111" s="39">
        <f t="shared" si="241"/>
        <v>15000000</v>
      </c>
      <c r="CT111" s="53">
        <f t="shared" si="242"/>
        <v>0</v>
      </c>
      <c r="CU111" s="39">
        <f t="shared" si="243"/>
        <v>0</v>
      </c>
      <c r="CV111" s="39">
        <f t="shared" si="244"/>
        <v>0</v>
      </c>
      <c r="CW111" s="39">
        <f t="shared" si="245"/>
        <v>14999591.99147591</v>
      </c>
      <c r="CX111" s="39">
        <f t="shared" si="246"/>
        <v>15000291.991475906</v>
      </c>
      <c r="CY111" s="39">
        <f t="shared" si="247"/>
        <v>20000291.991475906</v>
      </c>
      <c r="CZ111" s="39">
        <f t="shared" si="248"/>
        <v>30000262.81147591</v>
      </c>
      <c r="DA111" s="39">
        <f t="shared" si="249"/>
        <v>30000262.81147591</v>
      </c>
      <c r="DB111" s="39">
        <f t="shared" si="250"/>
        <v>30000262.81147591</v>
      </c>
      <c r="DC111" s="39">
        <f t="shared" si="251"/>
        <v>30000262.81147591</v>
      </c>
      <c r="DD111" s="39">
        <f>+HLOOKUP('Reporte Evolución Mensual'!$F$2-2,$CR$2:$DC$251, Input!$DG111, FALSE)</f>
        <v>0</v>
      </c>
      <c r="DE111" s="39">
        <f>+HLOOKUP('Reporte Evolución Mensual'!$F$2-1,$CR$2:$DC$251, Input!$DG111, FALSE)</f>
        <v>0</v>
      </c>
      <c r="DF111" s="39">
        <f>+HLOOKUP('Reporte Evolución Mensual'!$F$2,$CR$2:$DC$371, Input!$DG111, FALSE)</f>
        <v>0</v>
      </c>
      <c r="DG111" s="40">
        <f t="shared" si="160"/>
        <v>111</v>
      </c>
      <c r="DH111" s="39"/>
      <c r="DI111" s="37">
        <f t="shared" si="281"/>
        <v>0</v>
      </c>
      <c r="DJ111" s="37">
        <f t="shared" si="282"/>
        <v>15000000</v>
      </c>
      <c r="DK111" s="37">
        <f t="shared" si="282"/>
        <v>15000000</v>
      </c>
      <c r="DL111" s="37">
        <f t="shared" si="282"/>
        <v>15000000</v>
      </c>
      <c r="DM111" s="37">
        <f t="shared" si="282"/>
        <v>15000000</v>
      </c>
      <c r="DN111" s="37">
        <f t="shared" si="282"/>
        <v>29999591.99147591</v>
      </c>
      <c r="DO111" s="37">
        <f t="shared" si="282"/>
        <v>44999883.98295182</v>
      </c>
      <c r="DP111" s="37">
        <f t="shared" si="282"/>
        <v>65000175.97442773</v>
      </c>
      <c r="DQ111" s="37">
        <f t="shared" si="282"/>
        <v>95000438.785903633</v>
      </c>
      <c r="DR111" s="37">
        <f t="shared" si="282"/>
        <v>125000701.59737954</v>
      </c>
      <c r="DS111" s="37">
        <f t="shared" si="282"/>
        <v>155000964.40885544</v>
      </c>
      <c r="DT111" s="37">
        <f t="shared" si="282"/>
        <v>185001227.22033134</v>
      </c>
      <c r="DU111" s="1"/>
      <c r="DV111" s="345" t="s">
        <v>163</v>
      </c>
    </row>
    <row r="112" spans="1:126" ht="15" customHeight="1" x14ac:dyDescent="0.3">
      <c r="A112" s="1" t="str">
        <f t="shared" si="137"/>
        <v>ADIFSE</v>
      </c>
      <c r="B112" s="1" t="str">
        <f t="shared" si="138"/>
        <v>ADIFSE</v>
      </c>
      <c r="C112" s="1" t="str">
        <f t="shared" si="139"/>
        <v>MAY</v>
      </c>
      <c r="D112" s="1" t="s">
        <v>163</v>
      </c>
      <c r="E112" s="30" t="str">
        <f>H112</f>
        <v>Credito Externo</v>
      </c>
      <c r="F112" s="90" t="s">
        <v>281</v>
      </c>
      <c r="G112" s="32" t="s">
        <v>273</v>
      </c>
      <c r="H112" s="32" t="s">
        <v>282</v>
      </c>
      <c r="I112" s="32" t="s">
        <v>282</v>
      </c>
      <c r="J112" s="32" t="s">
        <v>166</v>
      </c>
      <c r="K112" s="51"/>
      <c r="L112" s="34"/>
      <c r="M112" s="34"/>
      <c r="N112" s="34"/>
      <c r="O112" s="34"/>
      <c r="P112" s="38">
        <f>+P64</f>
        <v>0</v>
      </c>
      <c r="Q112" s="36">
        <f t="shared" si="269"/>
        <v>0</v>
      </c>
      <c r="R112" s="34"/>
      <c r="S112" s="34"/>
      <c r="T112" s="34"/>
      <c r="U112" s="34"/>
      <c r="V112" s="38">
        <f>+V64</f>
        <v>0</v>
      </c>
      <c r="W112" s="36">
        <f t="shared" si="166"/>
        <v>0</v>
      </c>
      <c r="X112" s="34"/>
      <c r="Y112" s="34"/>
      <c r="Z112" s="34"/>
      <c r="AA112" s="34"/>
      <c r="AB112" s="38">
        <f>+AB64</f>
        <v>0</v>
      </c>
      <c r="AC112" s="36">
        <f t="shared" si="270"/>
        <v>0</v>
      </c>
      <c r="AD112" s="34"/>
      <c r="AE112" s="34"/>
      <c r="AF112" s="34"/>
      <c r="AG112" s="34"/>
      <c r="AH112" s="38">
        <f>+AH64</f>
        <v>0</v>
      </c>
      <c r="AI112" s="36">
        <f t="shared" si="271"/>
        <v>0</v>
      </c>
      <c r="AJ112" s="34"/>
      <c r="AK112" s="34"/>
      <c r="AL112" s="34"/>
      <c r="AM112" s="34"/>
      <c r="AN112" s="38">
        <f>+AN64</f>
        <v>0</v>
      </c>
      <c r="AO112" s="36">
        <f t="shared" si="272"/>
        <v>0</v>
      </c>
      <c r="AP112" s="34"/>
      <c r="AQ112" s="34"/>
      <c r="AR112" s="34"/>
      <c r="AS112" s="34"/>
      <c r="AT112" s="38">
        <f>+AT64</f>
        <v>0</v>
      </c>
      <c r="AU112" s="36">
        <f t="shared" si="273"/>
        <v>0</v>
      </c>
      <c r="AV112" s="34"/>
      <c r="AW112" s="34"/>
      <c r="AX112" s="34"/>
      <c r="AY112" s="34"/>
      <c r="AZ112" s="38">
        <f>+AZ64</f>
        <v>0</v>
      </c>
      <c r="BA112" s="36">
        <f t="shared" si="274"/>
        <v>0</v>
      </c>
      <c r="BB112" s="34"/>
      <c r="BC112" s="34"/>
      <c r="BD112" s="34"/>
      <c r="BE112" s="34"/>
      <c r="BF112" s="38">
        <f>+BF64</f>
        <v>0</v>
      </c>
      <c r="BG112" s="36">
        <f t="shared" si="275"/>
        <v>0</v>
      </c>
      <c r="BH112" s="34"/>
      <c r="BI112" s="34"/>
      <c r="BJ112" s="34"/>
      <c r="BK112" s="34"/>
      <c r="BL112" s="38">
        <f>+BL64</f>
        <v>0</v>
      </c>
      <c r="BM112" s="36">
        <f t="shared" si="276"/>
        <v>0</v>
      </c>
      <c r="BN112" s="34"/>
      <c r="BO112" s="34"/>
      <c r="BP112" s="34"/>
      <c r="BQ112" s="34"/>
      <c r="BR112" s="38">
        <f>+BR64</f>
        <v>0</v>
      </c>
      <c r="BS112" s="36">
        <f t="shared" si="277"/>
        <v>0</v>
      </c>
      <c r="BT112" s="34"/>
      <c r="BU112" s="34"/>
      <c r="BV112" s="34"/>
      <c r="BW112" s="34"/>
      <c r="BX112" s="38">
        <f>+BX64</f>
        <v>0</v>
      </c>
      <c r="BY112" s="36">
        <f t="shared" si="278"/>
        <v>0</v>
      </c>
      <c r="BZ112" s="34"/>
      <c r="CA112" s="34"/>
      <c r="CB112" s="34"/>
      <c r="CC112" s="34"/>
      <c r="CD112" s="38">
        <f>+CD64</f>
        <v>0</v>
      </c>
      <c r="CE112" s="36">
        <f t="shared" si="279"/>
        <v>0</v>
      </c>
      <c r="CF112" s="34"/>
      <c r="CG112" s="34"/>
      <c r="CH112" s="34"/>
      <c r="CI112" s="34"/>
      <c r="CJ112" s="38">
        <f>+CJ64</f>
        <v>0</v>
      </c>
      <c r="CK112" s="36">
        <f t="shared" si="280"/>
        <v>0</v>
      </c>
      <c r="CL112" s="67">
        <f t="shared" si="146"/>
        <v>0</v>
      </c>
      <c r="CM112" s="67">
        <f t="shared" si="146"/>
        <v>0</v>
      </c>
      <c r="CN112" s="67">
        <f t="shared" si="146"/>
        <v>0</v>
      </c>
      <c r="CO112" s="67">
        <f t="shared" si="141"/>
        <v>0</v>
      </c>
      <c r="CP112" s="67">
        <f t="shared" si="141"/>
        <v>0</v>
      </c>
      <c r="CQ112" s="67">
        <f t="shared" si="141"/>
        <v>0</v>
      </c>
      <c r="CR112" s="37">
        <f t="shared" si="212"/>
        <v>0</v>
      </c>
      <c r="CS112" s="39">
        <f t="shared" si="241"/>
        <v>0</v>
      </c>
      <c r="CT112" s="53">
        <f t="shared" si="242"/>
        <v>0</v>
      </c>
      <c r="CU112" s="39">
        <f t="shared" si="243"/>
        <v>0</v>
      </c>
      <c r="CV112" s="39">
        <f t="shared" si="244"/>
        <v>0</v>
      </c>
      <c r="CW112" s="39">
        <f t="shared" si="245"/>
        <v>0</v>
      </c>
      <c r="CX112" s="39">
        <f t="shared" si="246"/>
        <v>0</v>
      </c>
      <c r="CY112" s="39">
        <f t="shared" si="247"/>
        <v>0</v>
      </c>
      <c r="CZ112" s="39">
        <f t="shared" si="248"/>
        <v>0</v>
      </c>
      <c r="DA112" s="39">
        <f t="shared" si="249"/>
        <v>0</v>
      </c>
      <c r="DB112" s="39">
        <f t="shared" si="250"/>
        <v>0</v>
      </c>
      <c r="DC112" s="39">
        <f t="shared" si="251"/>
        <v>0</v>
      </c>
      <c r="DD112" s="39">
        <f>+HLOOKUP('Reporte Evolución Mensual'!$F$2-2,$CR$2:$DC$251, Input!$DG112, FALSE)</f>
        <v>31000000</v>
      </c>
      <c r="DE112" s="39">
        <f>+HLOOKUP('Reporte Evolución Mensual'!$F$2-1,$CR$2:$DC$251, Input!$DG112, FALSE)</f>
        <v>45380000</v>
      </c>
      <c r="DF112" s="39">
        <f>+HLOOKUP('Reporte Evolución Mensual'!$F$2,$CR$2:$DC$371, Input!$DG112, FALSE)</f>
        <v>62075647.650901705</v>
      </c>
      <c r="DG112" s="40">
        <f t="shared" si="160"/>
        <v>112</v>
      </c>
      <c r="DH112" s="39"/>
      <c r="DI112" s="37">
        <f t="shared" si="281"/>
        <v>0</v>
      </c>
      <c r="DJ112" s="37">
        <f t="shared" si="282"/>
        <v>0</v>
      </c>
      <c r="DK112" s="37">
        <f t="shared" si="282"/>
        <v>0</v>
      </c>
      <c r="DL112" s="37">
        <f t="shared" si="282"/>
        <v>0</v>
      </c>
      <c r="DM112" s="37">
        <f t="shared" si="282"/>
        <v>0</v>
      </c>
      <c r="DN112" s="37">
        <f t="shared" si="282"/>
        <v>0</v>
      </c>
      <c r="DO112" s="37">
        <f t="shared" si="282"/>
        <v>0</v>
      </c>
      <c r="DP112" s="37">
        <f t="shared" si="282"/>
        <v>0</v>
      </c>
      <c r="DQ112" s="37">
        <f t="shared" si="282"/>
        <v>0</v>
      </c>
      <c r="DR112" s="37">
        <f t="shared" si="282"/>
        <v>0</v>
      </c>
      <c r="DS112" s="37">
        <f t="shared" si="282"/>
        <v>0</v>
      </c>
      <c r="DT112" s="37">
        <f t="shared" si="282"/>
        <v>0</v>
      </c>
      <c r="DU112" s="1"/>
      <c r="DV112" s="345" t="s">
        <v>163</v>
      </c>
    </row>
    <row r="113" spans="1:126" ht="15" customHeight="1" x14ac:dyDescent="0.3">
      <c r="A113" s="1" t="str">
        <f t="shared" si="137"/>
        <v>ADIFSE</v>
      </c>
      <c r="B113" s="1" t="str">
        <f t="shared" si="138"/>
        <v>ADIFSE</v>
      </c>
      <c r="C113" s="1" t="str">
        <f t="shared" si="139"/>
        <v>MAY</v>
      </c>
      <c r="D113" s="41" t="s">
        <v>108</v>
      </c>
      <c r="E113" s="54" t="str">
        <f>CONCATENATE(G113," - ",I113)</f>
        <v>Financiamiento Gastos Corrientes - Total</v>
      </c>
      <c r="F113" s="43"/>
      <c r="G113" s="32" t="s">
        <v>273</v>
      </c>
      <c r="H113" s="32" t="s">
        <v>173</v>
      </c>
      <c r="I113" s="32" t="s">
        <v>173</v>
      </c>
      <c r="J113" s="32" t="s">
        <v>166</v>
      </c>
      <c r="K113" s="46">
        <f t="shared" ref="K113" si="283">SUM(K108:K112)</f>
        <v>431131640</v>
      </c>
      <c r="L113" s="46">
        <f t="shared" ref="L113:P113" si="284">SUM(L108:L112)</f>
        <v>590000000</v>
      </c>
      <c r="M113" s="46">
        <f t="shared" si="284"/>
        <v>120000000</v>
      </c>
      <c r="N113" s="46">
        <f t="shared" si="284"/>
        <v>0</v>
      </c>
      <c r="O113" s="46">
        <f t="shared" si="284"/>
        <v>0</v>
      </c>
      <c r="P113" s="46">
        <f t="shared" si="284"/>
        <v>0</v>
      </c>
      <c r="Q113" s="92">
        <f t="shared" si="269"/>
        <v>710000000</v>
      </c>
      <c r="R113" s="46">
        <f t="shared" ref="R113:V113" si="285">SUM(R108:R112)</f>
        <v>61838433.030000001</v>
      </c>
      <c r="S113" s="46">
        <f t="shared" si="285"/>
        <v>0</v>
      </c>
      <c r="T113" s="46">
        <f t="shared" si="285"/>
        <v>0</v>
      </c>
      <c r="U113" s="46">
        <f t="shared" si="285"/>
        <v>0</v>
      </c>
      <c r="V113" s="46">
        <f t="shared" si="285"/>
        <v>0</v>
      </c>
      <c r="W113" s="92">
        <f t="shared" si="166"/>
        <v>61838433.030000001</v>
      </c>
      <c r="X113" s="46">
        <f t="shared" ref="X113:AB113" si="286">SUM(X108:X112)</f>
        <v>45380000</v>
      </c>
      <c r="Y113" s="46">
        <f t="shared" si="286"/>
        <v>8100000</v>
      </c>
      <c r="Z113" s="46">
        <f t="shared" si="286"/>
        <v>0</v>
      </c>
      <c r="AA113" s="46">
        <f t="shared" si="286"/>
        <v>15000000</v>
      </c>
      <c r="AB113" s="46">
        <f t="shared" si="286"/>
        <v>0</v>
      </c>
      <c r="AC113" s="92">
        <f t="shared" si="270"/>
        <v>68480000</v>
      </c>
      <c r="AD113" s="46">
        <f t="shared" ref="AD113:AH113" si="287">SUM(AD108:AD112)</f>
        <v>31000000</v>
      </c>
      <c r="AE113" s="46">
        <f t="shared" si="287"/>
        <v>0</v>
      </c>
      <c r="AF113" s="46">
        <f t="shared" si="287"/>
        <v>0</v>
      </c>
      <c r="AG113" s="46">
        <f t="shared" si="287"/>
        <v>0</v>
      </c>
      <c r="AH113" s="46">
        <f t="shared" si="287"/>
        <v>0</v>
      </c>
      <c r="AI113" s="92">
        <f t="shared" si="271"/>
        <v>31000000</v>
      </c>
      <c r="AJ113" s="46">
        <f t="shared" ref="AJ113:AN113" si="288">SUM(AJ108:AJ112)</f>
        <v>45380000</v>
      </c>
      <c r="AK113" s="46">
        <f t="shared" si="288"/>
        <v>0</v>
      </c>
      <c r="AL113" s="46">
        <f t="shared" si="288"/>
        <v>0</v>
      </c>
      <c r="AM113" s="46">
        <f t="shared" si="288"/>
        <v>0</v>
      </c>
      <c r="AN113" s="46">
        <f t="shared" si="288"/>
        <v>0</v>
      </c>
      <c r="AO113" s="92">
        <f t="shared" si="272"/>
        <v>45380000</v>
      </c>
      <c r="AP113" s="46">
        <f t="shared" ref="AP113:AT113" si="289">SUM(AP108:AP112)</f>
        <v>62075647.650901705</v>
      </c>
      <c r="AQ113" s="46">
        <f t="shared" si="289"/>
        <v>0</v>
      </c>
      <c r="AR113" s="46">
        <f t="shared" si="289"/>
        <v>0</v>
      </c>
      <c r="AS113" s="46">
        <f t="shared" si="289"/>
        <v>0</v>
      </c>
      <c r="AT113" s="46">
        <f t="shared" si="289"/>
        <v>0</v>
      </c>
      <c r="AU113" s="92">
        <f t="shared" si="273"/>
        <v>62075647.650901705</v>
      </c>
      <c r="AV113" s="46">
        <f t="shared" ref="AV113:AZ113" si="290">SUM(AV108:AV112)</f>
        <v>47642159.007278219</v>
      </c>
      <c r="AW113" s="46">
        <f t="shared" si="290"/>
        <v>0</v>
      </c>
      <c r="AX113" s="46">
        <f t="shared" si="290"/>
        <v>0</v>
      </c>
      <c r="AY113" s="46">
        <f t="shared" si="290"/>
        <v>14999591.99147591</v>
      </c>
      <c r="AZ113" s="46">
        <f t="shared" si="290"/>
        <v>0</v>
      </c>
      <c r="BA113" s="92">
        <f t="shared" si="274"/>
        <v>62641750.998754129</v>
      </c>
      <c r="BB113" s="46">
        <f t="shared" ref="BB113:BF113" si="291">SUM(BB108:BB112)</f>
        <v>0</v>
      </c>
      <c r="BC113" s="46">
        <f t="shared" si="291"/>
        <v>0</v>
      </c>
      <c r="BD113" s="46">
        <f t="shared" si="291"/>
        <v>0</v>
      </c>
      <c r="BE113" s="46">
        <f t="shared" si="291"/>
        <v>15000291.991475906</v>
      </c>
      <c r="BF113" s="46">
        <f t="shared" si="291"/>
        <v>0</v>
      </c>
      <c r="BG113" s="92">
        <f t="shared" si="275"/>
        <v>15000291.991475906</v>
      </c>
      <c r="BH113" s="46">
        <f t="shared" ref="BH113:BL113" si="292">SUM(BH108:BH112)</f>
        <v>0</v>
      </c>
      <c r="BI113" s="46">
        <f t="shared" si="292"/>
        <v>0</v>
      </c>
      <c r="BJ113" s="46">
        <f t="shared" si="292"/>
        <v>0</v>
      </c>
      <c r="BK113" s="46">
        <f t="shared" si="292"/>
        <v>20000291.991475906</v>
      </c>
      <c r="BL113" s="46">
        <f t="shared" si="292"/>
        <v>0</v>
      </c>
      <c r="BM113" s="92">
        <f t="shared" si="276"/>
        <v>20000291.991475906</v>
      </c>
      <c r="BN113" s="46">
        <f t="shared" ref="BN113:BR113" si="293">SUM(BN108:BN112)</f>
        <v>0</v>
      </c>
      <c r="BO113" s="46">
        <f t="shared" si="293"/>
        <v>0</v>
      </c>
      <c r="BP113" s="46">
        <f t="shared" si="293"/>
        <v>0</v>
      </c>
      <c r="BQ113" s="46">
        <f t="shared" si="293"/>
        <v>30000262.81147591</v>
      </c>
      <c r="BR113" s="46">
        <f t="shared" si="293"/>
        <v>0</v>
      </c>
      <c r="BS113" s="92">
        <f t="shared" si="277"/>
        <v>30000262.81147591</v>
      </c>
      <c r="BT113" s="46">
        <f t="shared" ref="BT113:BX113" si="294">SUM(BT108:BT112)</f>
        <v>0</v>
      </c>
      <c r="BU113" s="46">
        <f t="shared" si="294"/>
        <v>0</v>
      </c>
      <c r="BV113" s="46">
        <f t="shared" si="294"/>
        <v>0</v>
      </c>
      <c r="BW113" s="46">
        <f t="shared" si="294"/>
        <v>30000262.81147591</v>
      </c>
      <c r="BX113" s="46">
        <f t="shared" si="294"/>
        <v>0</v>
      </c>
      <c r="BY113" s="92">
        <f t="shared" si="278"/>
        <v>30000262.81147591</v>
      </c>
      <c r="BZ113" s="46">
        <f t="shared" ref="BZ113:CD113" si="295">SUM(BZ108:BZ112)</f>
        <v>0</v>
      </c>
      <c r="CA113" s="46">
        <f t="shared" si="295"/>
        <v>0</v>
      </c>
      <c r="CB113" s="46">
        <f t="shared" si="295"/>
        <v>0</v>
      </c>
      <c r="CC113" s="46">
        <f t="shared" si="295"/>
        <v>30000262.81147591</v>
      </c>
      <c r="CD113" s="46">
        <f t="shared" si="295"/>
        <v>0</v>
      </c>
      <c r="CE113" s="92">
        <f t="shared" si="279"/>
        <v>30000262.81147591</v>
      </c>
      <c r="CF113" s="46">
        <f t="shared" ref="CF113:CJ113" si="296">SUM(CF108:CF112)</f>
        <v>0</v>
      </c>
      <c r="CG113" s="46">
        <f t="shared" si="296"/>
        <v>0</v>
      </c>
      <c r="CH113" s="46">
        <f t="shared" si="296"/>
        <v>0</v>
      </c>
      <c r="CI113" s="46">
        <f t="shared" si="296"/>
        <v>30000262.81147591</v>
      </c>
      <c r="CJ113" s="46">
        <f t="shared" si="296"/>
        <v>0</v>
      </c>
      <c r="CK113" s="92">
        <f t="shared" si="280"/>
        <v>30000262.81147591</v>
      </c>
      <c r="CL113" s="56">
        <f t="shared" si="146"/>
        <v>293316239.68817991</v>
      </c>
      <c r="CM113" s="56">
        <f t="shared" si="146"/>
        <v>8100000</v>
      </c>
      <c r="CN113" s="56">
        <f t="shared" si="146"/>
        <v>0</v>
      </c>
      <c r="CO113" s="56">
        <f t="shared" si="141"/>
        <v>185001227.22033134</v>
      </c>
      <c r="CP113" s="56">
        <f t="shared" si="141"/>
        <v>0</v>
      </c>
      <c r="CQ113" s="56">
        <f t="shared" si="141"/>
        <v>486417466.90851134</v>
      </c>
      <c r="CR113" s="37">
        <f t="shared" si="212"/>
        <v>61838433.030000001</v>
      </c>
      <c r="CS113" s="39">
        <f t="shared" si="241"/>
        <v>68480000</v>
      </c>
      <c r="CT113" s="53">
        <f t="shared" si="242"/>
        <v>31000000</v>
      </c>
      <c r="CU113" s="39">
        <f t="shared" si="243"/>
        <v>45380000</v>
      </c>
      <c r="CV113" s="39">
        <f t="shared" si="244"/>
        <v>62075647.650901705</v>
      </c>
      <c r="CW113" s="39">
        <f t="shared" si="245"/>
        <v>62641750.998754129</v>
      </c>
      <c r="CX113" s="39">
        <f t="shared" si="246"/>
        <v>15000291.991475906</v>
      </c>
      <c r="CY113" s="39">
        <f t="shared" si="247"/>
        <v>20000291.991475906</v>
      </c>
      <c r="CZ113" s="39">
        <f t="shared" si="248"/>
        <v>30000262.81147591</v>
      </c>
      <c r="DA113" s="39">
        <f t="shared" si="249"/>
        <v>30000262.81147591</v>
      </c>
      <c r="DB113" s="39">
        <f t="shared" si="250"/>
        <v>30000262.81147591</v>
      </c>
      <c r="DC113" s="39">
        <f t="shared" si="251"/>
        <v>30000262.81147591</v>
      </c>
      <c r="DD113" s="39">
        <f>+HLOOKUP('Reporte Evolución Mensual'!$F$2-2,$CR$2:$DC$251, Input!$DG113, FALSE)</f>
        <v>0</v>
      </c>
      <c r="DE113" s="39">
        <f>+HLOOKUP('Reporte Evolución Mensual'!$F$2-1,$CR$2:$DC$251, Input!$DG113, FALSE)</f>
        <v>0</v>
      </c>
      <c r="DF113" s="39">
        <f>+HLOOKUP('Reporte Evolución Mensual'!$F$2,$CR$2:$DC$371, Input!$DG113, FALSE)</f>
        <v>0</v>
      </c>
      <c r="DG113" s="40">
        <f t="shared" ref="DG113:DG129" si="297">+DG112+1</f>
        <v>113</v>
      </c>
      <c r="DH113" s="39"/>
      <c r="DI113" s="37">
        <f t="shared" si="281"/>
        <v>61838433.030000001</v>
      </c>
      <c r="DJ113" s="37">
        <f t="shared" si="282"/>
        <v>130318433.03</v>
      </c>
      <c r="DK113" s="37">
        <f t="shared" si="282"/>
        <v>161318433.03</v>
      </c>
      <c r="DL113" s="37">
        <f t="shared" si="282"/>
        <v>206698433.03</v>
      </c>
      <c r="DM113" s="37">
        <f t="shared" si="282"/>
        <v>268774080.68090171</v>
      </c>
      <c r="DN113" s="37">
        <f t="shared" si="282"/>
        <v>331415831.67965585</v>
      </c>
      <c r="DO113" s="37">
        <f t="shared" si="282"/>
        <v>346416123.67113173</v>
      </c>
      <c r="DP113" s="37">
        <f t="shared" si="282"/>
        <v>366416415.66260761</v>
      </c>
      <c r="DQ113" s="37">
        <f t="shared" si="282"/>
        <v>396416678.47408354</v>
      </c>
      <c r="DR113" s="37">
        <f t="shared" si="282"/>
        <v>426416941.28555948</v>
      </c>
      <c r="DS113" s="37">
        <f t="shared" si="282"/>
        <v>456417204.09703541</v>
      </c>
      <c r="DT113" s="37">
        <f t="shared" si="282"/>
        <v>486417466.90851134</v>
      </c>
      <c r="DU113" s="1"/>
      <c r="DV113" s="345"/>
    </row>
    <row r="114" spans="1:126" ht="15" customHeight="1" x14ac:dyDescent="0.3">
      <c r="A114" s="1" t="str">
        <f t="shared" si="137"/>
        <v>ADIFSE</v>
      </c>
      <c r="B114" s="1" t="str">
        <f t="shared" si="138"/>
        <v>ADIFSE</v>
      </c>
      <c r="C114" s="1" t="str">
        <f t="shared" si="139"/>
        <v>MAY</v>
      </c>
      <c r="D114" s="1" t="s">
        <v>108</v>
      </c>
      <c r="E114" s="54" t="s">
        <v>333</v>
      </c>
      <c r="F114" s="43"/>
      <c r="G114" s="32"/>
      <c r="H114" s="32"/>
      <c r="I114" s="32"/>
      <c r="J114" s="32"/>
      <c r="K114" s="38"/>
      <c r="L114" s="38"/>
      <c r="M114" s="38"/>
      <c r="N114" s="38"/>
      <c r="O114" s="38"/>
      <c r="P114" s="38"/>
      <c r="Q114" s="71"/>
      <c r="R114" s="38"/>
      <c r="S114" s="38"/>
      <c r="T114" s="38"/>
      <c r="U114" s="38"/>
      <c r="V114" s="38"/>
      <c r="W114" s="71"/>
      <c r="X114" s="38"/>
      <c r="Y114" s="38"/>
      <c r="Z114" s="38"/>
      <c r="AA114" s="38"/>
      <c r="AB114" s="38"/>
      <c r="AC114" s="71"/>
      <c r="AD114" s="38"/>
      <c r="AE114" s="38"/>
      <c r="AF114" s="38"/>
      <c r="AG114" s="38"/>
      <c r="AH114" s="38"/>
      <c r="AI114" s="71"/>
      <c r="AJ114" s="38"/>
      <c r="AK114" s="38"/>
      <c r="AL114" s="38"/>
      <c r="AM114" s="38"/>
      <c r="AN114" s="38"/>
      <c r="AO114" s="71"/>
      <c r="AP114" s="38"/>
      <c r="AQ114" s="38"/>
      <c r="AR114" s="38"/>
      <c r="AS114" s="38"/>
      <c r="AT114" s="38"/>
      <c r="AU114" s="71"/>
      <c r="AV114" s="38"/>
      <c r="AW114" s="38"/>
      <c r="AX114" s="38"/>
      <c r="AY114" s="38"/>
      <c r="AZ114" s="38"/>
      <c r="BA114" s="71"/>
      <c r="BB114" s="38"/>
      <c r="BC114" s="38"/>
      <c r="BD114" s="38"/>
      <c r="BE114" s="38"/>
      <c r="BF114" s="38"/>
      <c r="BG114" s="71"/>
      <c r="BH114" s="38"/>
      <c r="BI114" s="38"/>
      <c r="BJ114" s="38"/>
      <c r="BK114" s="38"/>
      <c r="BL114" s="38"/>
      <c r="BM114" s="71"/>
      <c r="BN114" s="38"/>
      <c r="BO114" s="38"/>
      <c r="BP114" s="38"/>
      <c r="BQ114" s="38"/>
      <c r="BR114" s="38"/>
      <c r="BS114" s="71"/>
      <c r="BT114" s="38"/>
      <c r="BU114" s="38"/>
      <c r="BV114" s="38"/>
      <c r="BW114" s="38"/>
      <c r="BX114" s="38"/>
      <c r="BY114" s="71"/>
      <c r="BZ114" s="38"/>
      <c r="CA114" s="38"/>
      <c r="CB114" s="38"/>
      <c r="CC114" s="38"/>
      <c r="CD114" s="38"/>
      <c r="CE114" s="71"/>
      <c r="CF114" s="38"/>
      <c r="CG114" s="38"/>
      <c r="CH114" s="38"/>
      <c r="CI114" s="38"/>
      <c r="CJ114" s="38"/>
      <c r="CK114" s="71"/>
      <c r="CL114" s="67"/>
      <c r="CM114" s="67"/>
      <c r="CN114" s="67"/>
      <c r="CO114" s="67"/>
      <c r="CP114" s="67"/>
      <c r="CQ114" s="67"/>
      <c r="CR114" s="37"/>
      <c r="CS114" s="39"/>
      <c r="CT114" s="53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>
        <f>+HLOOKUP('Reporte Evolución Mensual'!$F$2-2,$CR$2:$DC$251, Input!$DG114, FALSE)</f>
        <v>0</v>
      </c>
      <c r="DE114" s="39">
        <f>+HLOOKUP('Reporte Evolución Mensual'!$F$2-1,$CR$2:$DC$251, Input!$DG114, FALSE)</f>
        <v>0</v>
      </c>
      <c r="DF114" s="39">
        <f>+HLOOKUP('Reporte Evolución Mensual'!$F$2,$CR$2:$DC$371, Input!$DG114, FALSE)</f>
        <v>0</v>
      </c>
      <c r="DG114" s="40">
        <f t="shared" si="297"/>
        <v>114</v>
      </c>
      <c r="DH114" s="39"/>
      <c r="DI114" s="39"/>
      <c r="DJ114" s="39"/>
      <c r="DK114" s="39"/>
      <c r="DL114" s="39"/>
      <c r="DM114" s="39"/>
      <c r="DN114" s="39"/>
      <c r="DO114" s="58"/>
      <c r="DP114" s="58"/>
      <c r="DQ114" s="58"/>
      <c r="DR114" s="58"/>
      <c r="DS114" s="1"/>
      <c r="DT114" s="1"/>
      <c r="DU114" s="1"/>
      <c r="DV114" s="345"/>
    </row>
    <row r="115" spans="1:126" ht="15" customHeight="1" x14ac:dyDescent="0.3">
      <c r="A115" s="1" t="str">
        <f t="shared" si="137"/>
        <v>ADIFSE</v>
      </c>
      <c r="B115" s="1" t="str">
        <f t="shared" si="138"/>
        <v>ADIFSE</v>
      </c>
      <c r="C115" s="1" t="str">
        <f t="shared" si="139"/>
        <v>MAY</v>
      </c>
      <c r="D115" s="1" t="s">
        <v>108</v>
      </c>
      <c r="E115" s="64" t="str">
        <f>G116</f>
        <v xml:space="preserve">Financiamiento Egresos de Capital </v>
      </c>
      <c r="F115" s="89"/>
      <c r="G115" s="32"/>
      <c r="H115" s="32"/>
      <c r="I115" s="32"/>
      <c r="J115" s="32"/>
      <c r="K115" s="38"/>
      <c r="L115" s="38"/>
      <c r="M115" s="38"/>
      <c r="N115" s="38"/>
      <c r="O115" s="38"/>
      <c r="P115" s="38"/>
      <c r="Q115" s="71"/>
      <c r="R115" s="38"/>
      <c r="S115" s="38"/>
      <c r="T115" s="38"/>
      <c r="U115" s="38"/>
      <c r="V115" s="38"/>
      <c r="W115" s="71"/>
      <c r="X115" s="38"/>
      <c r="Y115" s="38"/>
      <c r="Z115" s="38"/>
      <c r="AA115" s="38"/>
      <c r="AB115" s="38"/>
      <c r="AC115" s="71"/>
      <c r="AD115" s="38"/>
      <c r="AE115" s="38"/>
      <c r="AF115" s="38"/>
      <c r="AG115" s="38"/>
      <c r="AH115" s="38"/>
      <c r="AI115" s="71"/>
      <c r="AJ115" s="38"/>
      <c r="AK115" s="38"/>
      <c r="AL115" s="38"/>
      <c r="AM115" s="38"/>
      <c r="AN115" s="38"/>
      <c r="AO115" s="71"/>
      <c r="AP115" s="38"/>
      <c r="AQ115" s="38"/>
      <c r="AR115" s="38"/>
      <c r="AS115" s="38"/>
      <c r="AT115" s="38"/>
      <c r="AU115" s="71"/>
      <c r="AV115" s="38"/>
      <c r="AW115" s="38"/>
      <c r="AX115" s="38"/>
      <c r="AY115" s="38"/>
      <c r="AZ115" s="38"/>
      <c r="BA115" s="71"/>
      <c r="BB115" s="38"/>
      <c r="BC115" s="38"/>
      <c r="BD115" s="38"/>
      <c r="BE115" s="38"/>
      <c r="BF115" s="38"/>
      <c r="BG115" s="71"/>
      <c r="BH115" s="38"/>
      <c r="BI115" s="38"/>
      <c r="BJ115" s="38"/>
      <c r="BK115" s="38"/>
      <c r="BL115" s="38"/>
      <c r="BM115" s="71"/>
      <c r="BN115" s="38"/>
      <c r="BO115" s="38"/>
      <c r="BP115" s="38"/>
      <c r="BQ115" s="38"/>
      <c r="BR115" s="38"/>
      <c r="BS115" s="71"/>
      <c r="BT115" s="38"/>
      <c r="BU115" s="38"/>
      <c r="BV115" s="38"/>
      <c r="BW115" s="38"/>
      <c r="BX115" s="38"/>
      <c r="BY115" s="71"/>
      <c r="BZ115" s="38"/>
      <c r="CA115" s="38"/>
      <c r="CB115" s="38"/>
      <c r="CC115" s="38"/>
      <c r="CD115" s="38"/>
      <c r="CE115" s="71"/>
      <c r="CF115" s="38"/>
      <c r="CG115" s="38"/>
      <c r="CH115" s="38"/>
      <c r="CI115" s="38"/>
      <c r="CJ115" s="38"/>
      <c r="CK115" s="71"/>
      <c r="CL115" s="67"/>
      <c r="CM115" s="67"/>
      <c r="CN115" s="67"/>
      <c r="CO115" s="67"/>
      <c r="CP115" s="67"/>
      <c r="CQ115" s="67"/>
      <c r="CR115" s="37"/>
      <c r="CS115" s="39"/>
      <c r="CT115" s="53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>
        <f>+HLOOKUP('Reporte Evolución Mensual'!$F$2-2,$CR$2:$DC$251, Input!$DG115, FALSE)</f>
        <v>438225000</v>
      </c>
      <c r="DE115" s="39">
        <f>+HLOOKUP('Reporte Evolución Mensual'!$F$2-1,$CR$2:$DC$251, Input!$DG115, FALSE)</f>
        <v>236851211.680718</v>
      </c>
      <c r="DF115" s="39">
        <f>+HLOOKUP('Reporte Evolución Mensual'!$F$2,$CR$2:$DC$371, Input!$DG115, FALSE)</f>
        <v>289648363.19143629</v>
      </c>
      <c r="DG115" s="40">
        <f t="shared" si="297"/>
        <v>115</v>
      </c>
      <c r="DH115" s="39"/>
      <c r="DI115" s="39"/>
      <c r="DJ115" s="39"/>
      <c r="DK115" s="39"/>
      <c r="DL115" s="39"/>
      <c r="DM115" s="39"/>
      <c r="DN115" s="39"/>
      <c r="DO115" s="58"/>
      <c r="DP115" s="58"/>
      <c r="DQ115" s="58"/>
      <c r="DR115" s="58"/>
      <c r="DS115" s="1"/>
      <c r="DT115" s="1"/>
      <c r="DU115" s="1"/>
      <c r="DV115" s="345"/>
    </row>
    <row r="116" spans="1:126" ht="15" customHeight="1" x14ac:dyDescent="0.3">
      <c r="A116" s="1" t="str">
        <f t="shared" si="137"/>
        <v>ADIFSE</v>
      </c>
      <c r="B116" s="1" t="str">
        <f t="shared" si="138"/>
        <v>ADIFSE</v>
      </c>
      <c r="C116" s="1" t="str">
        <f t="shared" si="139"/>
        <v>MAY</v>
      </c>
      <c r="D116" s="1" t="s">
        <v>163</v>
      </c>
      <c r="E116" s="30" t="str">
        <f>H116</f>
        <v>Tesoro y Crédito Interno</v>
      </c>
      <c r="F116" s="90" t="s">
        <v>272</v>
      </c>
      <c r="G116" s="32" t="s">
        <v>283</v>
      </c>
      <c r="H116" s="32" t="s">
        <v>274</v>
      </c>
      <c r="I116" s="32" t="s">
        <v>274</v>
      </c>
      <c r="J116" s="32" t="s">
        <v>166</v>
      </c>
      <c r="K116" s="51">
        <v>4084103578</v>
      </c>
      <c r="L116" s="38">
        <f>+L94</f>
        <v>3505800000</v>
      </c>
      <c r="M116" s="91"/>
      <c r="N116" s="91"/>
      <c r="O116" s="91"/>
      <c r="P116" s="91"/>
      <c r="Q116" s="36">
        <f t="shared" ref="Q116:Q121" si="298">SUM(L116:P116)</f>
        <v>3505800000</v>
      </c>
      <c r="R116" s="38">
        <f>+R94</f>
        <v>358995615.60461777</v>
      </c>
      <c r="S116" s="91"/>
      <c r="T116" s="91"/>
      <c r="U116" s="91"/>
      <c r="V116" s="91"/>
      <c r="W116" s="36">
        <f t="shared" si="166"/>
        <v>358995615.60461777</v>
      </c>
      <c r="X116" s="38">
        <f>+X94</f>
        <v>438225000</v>
      </c>
      <c r="Y116" s="91"/>
      <c r="Z116" s="91"/>
      <c r="AA116" s="91"/>
      <c r="AB116" s="91"/>
      <c r="AC116" s="36">
        <f t="shared" ref="AC116:AC121" si="299">SUM(X116:AB116)</f>
        <v>438225000</v>
      </c>
      <c r="AD116" s="38">
        <f>+AD94</f>
        <v>438225000</v>
      </c>
      <c r="AE116" s="91"/>
      <c r="AF116" s="91"/>
      <c r="AG116" s="91"/>
      <c r="AH116" s="91"/>
      <c r="AI116" s="36">
        <f t="shared" ref="AI116:AI121" si="300">SUM(AD116:AH116)</f>
        <v>438225000</v>
      </c>
      <c r="AJ116" s="38">
        <f>+AJ94</f>
        <v>236851211.680718</v>
      </c>
      <c r="AK116" s="91"/>
      <c r="AL116" s="91"/>
      <c r="AM116" s="91"/>
      <c r="AN116" s="91"/>
      <c r="AO116" s="36">
        <f t="shared" ref="AO116:AO121" si="301">SUM(AJ116:AN116)</f>
        <v>236851211.680718</v>
      </c>
      <c r="AP116" s="38">
        <f>+AP94</f>
        <v>289648363.19143629</v>
      </c>
      <c r="AQ116" s="91"/>
      <c r="AR116" s="91"/>
      <c r="AS116" s="91"/>
      <c r="AT116" s="91"/>
      <c r="AU116" s="36">
        <f t="shared" ref="AU116:AU121" si="302">SUM(AP116:AT116)</f>
        <v>289648363.19143629</v>
      </c>
      <c r="AV116" s="38">
        <f>+AV94</f>
        <v>485501141.61841416</v>
      </c>
      <c r="AW116" s="91"/>
      <c r="AX116" s="91"/>
      <c r="AY116" s="91"/>
      <c r="AZ116" s="91"/>
      <c r="BA116" s="36">
        <f t="shared" ref="BA116:BA121" si="303">SUM(AV116:AZ116)</f>
        <v>485501141.61841416</v>
      </c>
      <c r="BB116" s="38">
        <f>+BB94</f>
        <v>652004049.14677906</v>
      </c>
      <c r="BC116" s="91"/>
      <c r="BD116" s="91"/>
      <c r="BE116" s="91"/>
      <c r="BF116" s="91"/>
      <c r="BG116" s="36">
        <f t="shared" ref="BG116:BG121" si="304">SUM(BB116:BF116)</f>
        <v>652004049.14677906</v>
      </c>
      <c r="BH116" s="38">
        <f>+BH94</f>
        <v>483685274.81260371</v>
      </c>
      <c r="BI116" s="91"/>
      <c r="BJ116" s="91"/>
      <c r="BK116" s="91"/>
      <c r="BL116" s="91"/>
      <c r="BM116" s="36">
        <f t="shared" ref="BM116:BM121" si="305">SUM(BH116:BL116)</f>
        <v>483685274.81260371</v>
      </c>
      <c r="BN116" s="38">
        <f>+BN94</f>
        <v>430030259.96091521</v>
      </c>
      <c r="BO116" s="91"/>
      <c r="BP116" s="91"/>
      <c r="BQ116" s="91"/>
      <c r="BR116" s="91"/>
      <c r="BS116" s="36">
        <f t="shared" ref="BS116:BS121" si="306">SUM(BN116:BR116)</f>
        <v>430030259.96091521</v>
      </c>
      <c r="BT116" s="38">
        <f>+BT94</f>
        <v>613303691.14505875</v>
      </c>
      <c r="BU116" s="91"/>
      <c r="BV116" s="91"/>
      <c r="BW116" s="91"/>
      <c r="BX116" s="91"/>
      <c r="BY116" s="36">
        <f t="shared" ref="BY116:BY121" si="307">SUM(BT116:BX116)</f>
        <v>613303691.14505875</v>
      </c>
      <c r="BZ116" s="38">
        <f>+BZ94</f>
        <v>293872654.51091683</v>
      </c>
      <c r="CA116" s="91"/>
      <c r="CB116" s="91"/>
      <c r="CC116" s="91"/>
      <c r="CD116" s="91"/>
      <c r="CE116" s="36">
        <f t="shared" ref="CE116:CE121" si="308">SUM(BZ116:CD116)</f>
        <v>293872654.51091683</v>
      </c>
      <c r="CF116" s="38">
        <f>+CF94</f>
        <v>553532463.42286646</v>
      </c>
      <c r="CG116" s="91"/>
      <c r="CH116" s="91"/>
      <c r="CI116" s="91"/>
      <c r="CJ116" s="91"/>
      <c r="CK116" s="36">
        <f t="shared" ref="CK116:CK121" si="309">SUM(CF116:CJ116)</f>
        <v>553532463.42286646</v>
      </c>
      <c r="CL116" s="67">
        <f t="shared" si="146"/>
        <v>5273874725.094327</v>
      </c>
      <c r="CM116" s="67">
        <f t="shared" si="146"/>
        <v>0</v>
      </c>
      <c r="CN116" s="67">
        <f t="shared" si="146"/>
        <v>0</v>
      </c>
      <c r="CO116" s="67">
        <f t="shared" si="141"/>
        <v>0</v>
      </c>
      <c r="CP116" s="67">
        <f t="shared" si="141"/>
        <v>0</v>
      </c>
      <c r="CQ116" s="67">
        <f t="shared" si="141"/>
        <v>5273874725.094327</v>
      </c>
      <c r="CR116" s="37">
        <f t="shared" si="212"/>
        <v>358995615.60461777</v>
      </c>
      <c r="CS116" s="39">
        <f t="shared" si="241"/>
        <v>438225000</v>
      </c>
      <c r="CT116" s="53">
        <f t="shared" si="242"/>
        <v>438225000</v>
      </c>
      <c r="CU116" s="39">
        <f t="shared" si="243"/>
        <v>236851211.680718</v>
      </c>
      <c r="CV116" s="39">
        <f t="shared" si="244"/>
        <v>289648363.19143629</v>
      </c>
      <c r="CW116" s="39">
        <f t="shared" si="245"/>
        <v>485501141.61841416</v>
      </c>
      <c r="CX116" s="39">
        <f t="shared" si="246"/>
        <v>652004049.14677906</v>
      </c>
      <c r="CY116" s="39">
        <f t="shared" si="247"/>
        <v>483685274.81260371</v>
      </c>
      <c r="CZ116" s="39">
        <f t="shared" si="248"/>
        <v>430030259.96091521</v>
      </c>
      <c r="DA116" s="39">
        <f t="shared" si="249"/>
        <v>613303691.14505875</v>
      </c>
      <c r="DB116" s="39">
        <f t="shared" si="250"/>
        <v>293872654.51091683</v>
      </c>
      <c r="DC116" s="39">
        <f t="shared" si="251"/>
        <v>553532463.42286646</v>
      </c>
      <c r="DD116" s="39">
        <f>+HLOOKUP('Reporte Evolución Mensual'!$F$2-2,$CR$2:$DC$251, Input!$DG116, FALSE)</f>
        <v>0</v>
      </c>
      <c r="DE116" s="39">
        <f>+HLOOKUP('Reporte Evolución Mensual'!$F$2-1,$CR$2:$DC$251, Input!$DG116, FALSE)</f>
        <v>0</v>
      </c>
      <c r="DF116" s="39">
        <f>+HLOOKUP('Reporte Evolución Mensual'!$F$2,$CR$2:$DC$371, Input!$DG116, FALSE)</f>
        <v>0</v>
      </c>
      <c r="DG116" s="40">
        <f t="shared" si="297"/>
        <v>116</v>
      </c>
      <c r="DH116" s="39"/>
      <c r="DI116" s="37">
        <f t="shared" ref="DI116:DI121" si="310">+CR116</f>
        <v>358995615.60461777</v>
      </c>
      <c r="DJ116" s="37">
        <f t="shared" ref="DJ116:DT121" si="311">+DI116+CS116</f>
        <v>797220615.60461783</v>
      </c>
      <c r="DK116" s="37">
        <f t="shared" si="311"/>
        <v>1235445615.6046178</v>
      </c>
      <c r="DL116" s="37">
        <f t="shared" si="311"/>
        <v>1472296827.2853358</v>
      </c>
      <c r="DM116" s="37">
        <f t="shared" si="311"/>
        <v>1761945190.4767721</v>
      </c>
      <c r="DN116" s="37">
        <f t="shared" si="311"/>
        <v>2247446332.0951862</v>
      </c>
      <c r="DO116" s="37">
        <f t="shared" si="311"/>
        <v>2899450381.2419653</v>
      </c>
      <c r="DP116" s="37">
        <f t="shared" si="311"/>
        <v>3383135656.0545692</v>
      </c>
      <c r="DQ116" s="37">
        <f t="shared" si="311"/>
        <v>3813165916.0154843</v>
      </c>
      <c r="DR116" s="37">
        <f t="shared" si="311"/>
        <v>4426469607.1605434</v>
      </c>
      <c r="DS116" s="37">
        <f t="shared" si="311"/>
        <v>4720342261.6714602</v>
      </c>
      <c r="DT116" s="37">
        <f t="shared" si="311"/>
        <v>5273874725.094327</v>
      </c>
      <c r="DU116" s="1"/>
      <c r="DV116" s="345" t="s">
        <v>163</v>
      </c>
    </row>
    <row r="117" spans="1:126" ht="15" customHeight="1" x14ac:dyDescent="0.3">
      <c r="A117" s="1" t="str">
        <f t="shared" si="137"/>
        <v>ADIFSE</v>
      </c>
      <c r="B117" s="1" t="str">
        <f t="shared" si="138"/>
        <v>ADIFSE</v>
      </c>
      <c r="C117" s="1" t="str">
        <f t="shared" si="139"/>
        <v>MAY</v>
      </c>
      <c r="D117" s="1" t="s">
        <v>163</v>
      </c>
      <c r="E117" s="30" t="str">
        <f>H117</f>
        <v>Recursos Propios</v>
      </c>
      <c r="F117" s="90" t="s">
        <v>276</v>
      </c>
      <c r="G117" s="32" t="s">
        <v>273</v>
      </c>
      <c r="H117" s="32" t="s">
        <v>275</v>
      </c>
      <c r="I117" s="32" t="s">
        <v>275</v>
      </c>
      <c r="J117" s="32" t="s">
        <v>166</v>
      </c>
      <c r="K117" s="51"/>
      <c r="L117" s="38"/>
      <c r="M117" s="34">
        <f>+M94</f>
        <v>0</v>
      </c>
      <c r="N117" s="34"/>
      <c r="O117" s="91"/>
      <c r="P117" s="91"/>
      <c r="Q117" s="36">
        <f t="shared" si="298"/>
        <v>0</v>
      </c>
      <c r="R117" s="38"/>
      <c r="S117" s="34">
        <f>+S94</f>
        <v>0</v>
      </c>
      <c r="T117" s="34"/>
      <c r="U117" s="91"/>
      <c r="V117" s="91"/>
      <c r="W117" s="36">
        <f t="shared" si="166"/>
        <v>0</v>
      </c>
      <c r="X117" s="38"/>
      <c r="Y117" s="34">
        <f>+Y94</f>
        <v>0</v>
      </c>
      <c r="Z117" s="34"/>
      <c r="AA117" s="91"/>
      <c r="AB117" s="91"/>
      <c r="AC117" s="36">
        <f t="shared" si="299"/>
        <v>0</v>
      </c>
      <c r="AD117" s="38"/>
      <c r="AE117" s="34">
        <f>+AE94</f>
        <v>0</v>
      </c>
      <c r="AF117" s="34"/>
      <c r="AG117" s="91"/>
      <c r="AH117" s="91"/>
      <c r="AI117" s="36">
        <f t="shared" si="300"/>
        <v>0</v>
      </c>
      <c r="AJ117" s="38"/>
      <c r="AK117" s="34">
        <f>+AK94</f>
        <v>0</v>
      </c>
      <c r="AL117" s="34"/>
      <c r="AM117" s="91"/>
      <c r="AN117" s="91"/>
      <c r="AO117" s="36">
        <f t="shared" si="301"/>
        <v>0</v>
      </c>
      <c r="AP117" s="38"/>
      <c r="AQ117" s="34">
        <f>+AQ94</f>
        <v>0</v>
      </c>
      <c r="AR117" s="34"/>
      <c r="AS117" s="91"/>
      <c r="AT117" s="91"/>
      <c r="AU117" s="36">
        <f t="shared" si="302"/>
        <v>0</v>
      </c>
      <c r="AV117" s="38"/>
      <c r="AW117" s="34">
        <f>+AW94</f>
        <v>0</v>
      </c>
      <c r="AX117" s="34"/>
      <c r="AY117" s="91"/>
      <c r="AZ117" s="91"/>
      <c r="BA117" s="36">
        <f t="shared" si="303"/>
        <v>0</v>
      </c>
      <c r="BB117" s="38"/>
      <c r="BC117" s="34">
        <f>+BC94</f>
        <v>0</v>
      </c>
      <c r="BD117" s="34"/>
      <c r="BE117" s="91"/>
      <c r="BF117" s="91"/>
      <c r="BG117" s="36">
        <f t="shared" si="304"/>
        <v>0</v>
      </c>
      <c r="BH117" s="38"/>
      <c r="BI117" s="34">
        <f>+BI94</f>
        <v>0</v>
      </c>
      <c r="BJ117" s="34"/>
      <c r="BK117" s="91"/>
      <c r="BL117" s="91"/>
      <c r="BM117" s="36">
        <f t="shared" si="305"/>
        <v>0</v>
      </c>
      <c r="BN117" s="38"/>
      <c r="BO117" s="34">
        <f>+BO94</f>
        <v>0</v>
      </c>
      <c r="BP117" s="34"/>
      <c r="BQ117" s="91"/>
      <c r="BR117" s="91"/>
      <c r="BS117" s="36">
        <f t="shared" si="306"/>
        <v>0</v>
      </c>
      <c r="BT117" s="38"/>
      <c r="BU117" s="34">
        <f>+BU94</f>
        <v>0</v>
      </c>
      <c r="BV117" s="34"/>
      <c r="BW117" s="91"/>
      <c r="BX117" s="91"/>
      <c r="BY117" s="36">
        <f t="shared" si="307"/>
        <v>0</v>
      </c>
      <c r="BZ117" s="38"/>
      <c r="CA117" s="34">
        <f>+CA94</f>
        <v>0</v>
      </c>
      <c r="CB117" s="34"/>
      <c r="CC117" s="91"/>
      <c r="CD117" s="91"/>
      <c r="CE117" s="36">
        <f t="shared" si="308"/>
        <v>0</v>
      </c>
      <c r="CF117" s="38"/>
      <c r="CG117" s="34">
        <f>+CG94</f>
        <v>0</v>
      </c>
      <c r="CH117" s="34"/>
      <c r="CI117" s="91"/>
      <c r="CJ117" s="91"/>
      <c r="CK117" s="36">
        <f t="shared" si="309"/>
        <v>0</v>
      </c>
      <c r="CL117" s="67">
        <f t="shared" si="146"/>
        <v>0</v>
      </c>
      <c r="CM117" s="67">
        <f t="shared" si="146"/>
        <v>0</v>
      </c>
      <c r="CN117" s="67">
        <f t="shared" si="146"/>
        <v>0</v>
      </c>
      <c r="CO117" s="67">
        <f t="shared" si="141"/>
        <v>0</v>
      </c>
      <c r="CP117" s="67">
        <f t="shared" si="141"/>
        <v>0</v>
      </c>
      <c r="CQ117" s="67">
        <f t="shared" si="141"/>
        <v>0</v>
      </c>
      <c r="CR117" s="37">
        <f t="shared" si="212"/>
        <v>0</v>
      </c>
      <c r="CS117" s="39">
        <f t="shared" si="241"/>
        <v>0</v>
      </c>
      <c r="CT117" s="53">
        <f t="shared" si="242"/>
        <v>0</v>
      </c>
      <c r="CU117" s="39">
        <f t="shared" si="243"/>
        <v>0</v>
      </c>
      <c r="CV117" s="39">
        <f t="shared" si="244"/>
        <v>0</v>
      </c>
      <c r="CW117" s="39">
        <f t="shared" si="245"/>
        <v>0</v>
      </c>
      <c r="CX117" s="39">
        <f t="shared" si="246"/>
        <v>0</v>
      </c>
      <c r="CY117" s="39">
        <f t="shared" si="247"/>
        <v>0</v>
      </c>
      <c r="CZ117" s="39">
        <f t="shared" si="248"/>
        <v>0</v>
      </c>
      <c r="DA117" s="39">
        <f t="shared" si="249"/>
        <v>0</v>
      </c>
      <c r="DB117" s="39">
        <f t="shared" si="250"/>
        <v>0</v>
      </c>
      <c r="DC117" s="39">
        <f t="shared" si="251"/>
        <v>0</v>
      </c>
      <c r="DD117" s="39">
        <f>+HLOOKUP('Reporte Evolución Mensual'!$F$2-2,$CR$2:$DC$251, Input!$DG117, FALSE)</f>
        <v>0</v>
      </c>
      <c r="DE117" s="39">
        <f>+HLOOKUP('Reporte Evolución Mensual'!$F$2-1,$CR$2:$DC$251, Input!$DG117, FALSE)</f>
        <v>0</v>
      </c>
      <c r="DF117" s="39">
        <f>+HLOOKUP('Reporte Evolución Mensual'!$F$2,$CR$2:$DC$371, Input!$DG117, FALSE)</f>
        <v>0</v>
      </c>
      <c r="DG117" s="40">
        <f t="shared" si="297"/>
        <v>117</v>
      </c>
      <c r="DH117" s="39"/>
      <c r="DI117" s="37">
        <f t="shared" si="310"/>
        <v>0</v>
      </c>
      <c r="DJ117" s="37">
        <f t="shared" si="311"/>
        <v>0</v>
      </c>
      <c r="DK117" s="37">
        <f t="shared" si="311"/>
        <v>0</v>
      </c>
      <c r="DL117" s="37">
        <f t="shared" si="311"/>
        <v>0</v>
      </c>
      <c r="DM117" s="37">
        <f t="shared" si="311"/>
        <v>0</v>
      </c>
      <c r="DN117" s="37">
        <f t="shared" si="311"/>
        <v>0</v>
      </c>
      <c r="DO117" s="37">
        <f t="shared" si="311"/>
        <v>0</v>
      </c>
      <c r="DP117" s="37">
        <f t="shared" si="311"/>
        <v>0</v>
      </c>
      <c r="DQ117" s="37">
        <f t="shared" si="311"/>
        <v>0</v>
      </c>
      <c r="DR117" s="37">
        <f t="shared" si="311"/>
        <v>0</v>
      </c>
      <c r="DS117" s="37">
        <f t="shared" si="311"/>
        <v>0</v>
      </c>
      <c r="DT117" s="37">
        <f t="shared" si="311"/>
        <v>0</v>
      </c>
      <c r="DU117" s="1"/>
      <c r="DV117" s="345" t="s">
        <v>163</v>
      </c>
    </row>
    <row r="118" spans="1:126" ht="15" customHeight="1" x14ac:dyDescent="0.3">
      <c r="A118" s="1" t="str">
        <f t="shared" si="137"/>
        <v>ADIFSE</v>
      </c>
      <c r="B118" s="1" t="str">
        <f t="shared" si="138"/>
        <v>ADIFSE</v>
      </c>
      <c r="C118" s="1" t="str">
        <f t="shared" si="139"/>
        <v>MAY</v>
      </c>
      <c r="D118" s="1" t="s">
        <v>163</v>
      </c>
      <c r="E118" s="30" t="str">
        <f>H118</f>
        <v>Recursos con afectación</v>
      </c>
      <c r="F118" s="90" t="s">
        <v>278</v>
      </c>
      <c r="G118" s="32" t="s">
        <v>273</v>
      </c>
      <c r="H118" s="32" t="s">
        <v>279</v>
      </c>
      <c r="I118" s="32" t="s">
        <v>279</v>
      </c>
      <c r="J118" s="32" t="s">
        <v>166</v>
      </c>
      <c r="K118" s="51"/>
      <c r="L118" s="38"/>
      <c r="M118" s="34"/>
      <c r="N118" s="34">
        <f>+N94</f>
        <v>0</v>
      </c>
      <c r="O118" s="91"/>
      <c r="P118" s="91"/>
      <c r="Q118" s="36">
        <f t="shared" si="298"/>
        <v>0</v>
      </c>
      <c r="R118" s="38"/>
      <c r="S118" s="34"/>
      <c r="T118" s="34">
        <f>+T94</f>
        <v>0</v>
      </c>
      <c r="U118" s="91"/>
      <c r="V118" s="91"/>
      <c r="W118" s="36">
        <f t="shared" si="166"/>
        <v>0</v>
      </c>
      <c r="X118" s="38"/>
      <c r="Y118" s="34"/>
      <c r="Z118" s="34">
        <f>+Z94</f>
        <v>0</v>
      </c>
      <c r="AA118" s="91"/>
      <c r="AB118" s="91"/>
      <c r="AC118" s="36">
        <f t="shared" si="299"/>
        <v>0</v>
      </c>
      <c r="AD118" s="38"/>
      <c r="AE118" s="34"/>
      <c r="AF118" s="34">
        <f>+AF94</f>
        <v>0</v>
      </c>
      <c r="AG118" s="91"/>
      <c r="AH118" s="91"/>
      <c r="AI118" s="36">
        <f t="shared" si="300"/>
        <v>0</v>
      </c>
      <c r="AJ118" s="38"/>
      <c r="AK118" s="34"/>
      <c r="AL118" s="34">
        <f>+AL94</f>
        <v>0</v>
      </c>
      <c r="AM118" s="91"/>
      <c r="AN118" s="91"/>
      <c r="AO118" s="36">
        <f t="shared" si="301"/>
        <v>0</v>
      </c>
      <c r="AP118" s="38"/>
      <c r="AQ118" s="34"/>
      <c r="AR118" s="34">
        <f>+AR94</f>
        <v>0</v>
      </c>
      <c r="AS118" s="91"/>
      <c r="AT118" s="91"/>
      <c r="AU118" s="36">
        <f t="shared" si="302"/>
        <v>0</v>
      </c>
      <c r="AV118" s="38"/>
      <c r="AW118" s="34"/>
      <c r="AX118" s="34">
        <f>+AX94</f>
        <v>0</v>
      </c>
      <c r="AY118" s="91"/>
      <c r="AZ118" s="91"/>
      <c r="BA118" s="36">
        <f t="shared" si="303"/>
        <v>0</v>
      </c>
      <c r="BB118" s="38"/>
      <c r="BC118" s="34"/>
      <c r="BD118" s="34">
        <f>+BD94</f>
        <v>0</v>
      </c>
      <c r="BE118" s="91"/>
      <c r="BF118" s="91"/>
      <c r="BG118" s="36">
        <f t="shared" si="304"/>
        <v>0</v>
      </c>
      <c r="BH118" s="38"/>
      <c r="BI118" s="34"/>
      <c r="BJ118" s="34">
        <f>+BJ94</f>
        <v>0</v>
      </c>
      <c r="BK118" s="91"/>
      <c r="BL118" s="91"/>
      <c r="BM118" s="36">
        <f t="shared" si="305"/>
        <v>0</v>
      </c>
      <c r="BN118" s="38"/>
      <c r="BO118" s="34"/>
      <c r="BP118" s="34">
        <f>+BP94</f>
        <v>0</v>
      </c>
      <c r="BQ118" s="91"/>
      <c r="BR118" s="91"/>
      <c r="BS118" s="36">
        <f t="shared" si="306"/>
        <v>0</v>
      </c>
      <c r="BT118" s="38"/>
      <c r="BU118" s="34"/>
      <c r="BV118" s="34">
        <f>+BV94</f>
        <v>0</v>
      </c>
      <c r="BW118" s="91"/>
      <c r="BX118" s="91"/>
      <c r="BY118" s="36">
        <f t="shared" si="307"/>
        <v>0</v>
      </c>
      <c r="BZ118" s="38"/>
      <c r="CA118" s="34"/>
      <c r="CB118" s="34">
        <f>+CB94</f>
        <v>0</v>
      </c>
      <c r="CC118" s="91"/>
      <c r="CD118" s="91"/>
      <c r="CE118" s="36">
        <f t="shared" si="308"/>
        <v>0</v>
      </c>
      <c r="CF118" s="38"/>
      <c r="CG118" s="34"/>
      <c r="CH118" s="34">
        <f>+CH94</f>
        <v>0</v>
      </c>
      <c r="CI118" s="91"/>
      <c r="CJ118" s="91"/>
      <c r="CK118" s="36">
        <f t="shared" si="309"/>
        <v>0</v>
      </c>
      <c r="CL118" s="67">
        <f t="shared" si="146"/>
        <v>0</v>
      </c>
      <c r="CM118" s="67">
        <f t="shared" si="146"/>
        <v>0</v>
      </c>
      <c r="CN118" s="67">
        <f t="shared" si="146"/>
        <v>0</v>
      </c>
      <c r="CO118" s="67">
        <f t="shared" si="141"/>
        <v>0</v>
      </c>
      <c r="CP118" s="67">
        <f t="shared" si="141"/>
        <v>0</v>
      </c>
      <c r="CQ118" s="67">
        <f t="shared" si="141"/>
        <v>0</v>
      </c>
      <c r="CR118" s="37">
        <f t="shared" si="212"/>
        <v>0</v>
      </c>
      <c r="CS118" s="39">
        <f t="shared" si="241"/>
        <v>0</v>
      </c>
      <c r="CT118" s="53">
        <f t="shared" si="242"/>
        <v>0</v>
      </c>
      <c r="CU118" s="39">
        <f t="shared" si="243"/>
        <v>0</v>
      </c>
      <c r="CV118" s="39">
        <f t="shared" si="244"/>
        <v>0</v>
      </c>
      <c r="CW118" s="39">
        <f t="shared" si="245"/>
        <v>0</v>
      </c>
      <c r="CX118" s="39">
        <f t="shared" si="246"/>
        <v>0</v>
      </c>
      <c r="CY118" s="39">
        <f t="shared" si="247"/>
        <v>0</v>
      </c>
      <c r="CZ118" s="39">
        <f t="shared" si="248"/>
        <v>0</v>
      </c>
      <c r="DA118" s="39">
        <f t="shared" si="249"/>
        <v>0</v>
      </c>
      <c r="DB118" s="39">
        <f t="shared" si="250"/>
        <v>0</v>
      </c>
      <c r="DC118" s="39">
        <f t="shared" si="251"/>
        <v>0</v>
      </c>
      <c r="DD118" s="39">
        <f>+HLOOKUP('Reporte Evolución Mensual'!$F$2-2,$CR$2:$DC$251, Input!$DG118, FALSE)</f>
        <v>200000000</v>
      </c>
      <c r="DE118" s="39">
        <f>+HLOOKUP('Reporte Evolución Mensual'!$F$2-1,$CR$2:$DC$251, Input!$DG118, FALSE)</f>
        <v>150000000</v>
      </c>
      <c r="DF118" s="39">
        <f>+HLOOKUP('Reporte Evolución Mensual'!$F$2,$CR$2:$DC$371, Input!$DG118, FALSE)</f>
        <v>150000000</v>
      </c>
      <c r="DG118" s="40">
        <f t="shared" si="297"/>
        <v>118</v>
      </c>
      <c r="DH118" s="39"/>
      <c r="DI118" s="37">
        <f t="shared" si="310"/>
        <v>0</v>
      </c>
      <c r="DJ118" s="37">
        <f t="shared" si="311"/>
        <v>0</v>
      </c>
      <c r="DK118" s="37">
        <f t="shared" si="311"/>
        <v>0</v>
      </c>
      <c r="DL118" s="37">
        <f t="shared" si="311"/>
        <v>0</v>
      </c>
      <c r="DM118" s="37">
        <f t="shared" si="311"/>
        <v>0</v>
      </c>
      <c r="DN118" s="37">
        <f t="shared" si="311"/>
        <v>0</v>
      </c>
      <c r="DO118" s="37">
        <f t="shared" si="311"/>
        <v>0</v>
      </c>
      <c r="DP118" s="37">
        <f t="shared" si="311"/>
        <v>0</v>
      </c>
      <c r="DQ118" s="37">
        <f t="shared" si="311"/>
        <v>0</v>
      </c>
      <c r="DR118" s="37">
        <f t="shared" si="311"/>
        <v>0</v>
      </c>
      <c r="DS118" s="37">
        <f t="shared" si="311"/>
        <v>0</v>
      </c>
      <c r="DT118" s="37">
        <f t="shared" si="311"/>
        <v>0</v>
      </c>
      <c r="DU118" s="1"/>
      <c r="DV118" s="345" t="s">
        <v>108</v>
      </c>
    </row>
    <row r="119" spans="1:126" ht="15" customHeight="1" x14ac:dyDescent="0.3">
      <c r="A119" s="1" t="str">
        <f t="shared" si="137"/>
        <v>ADIFSE</v>
      </c>
      <c r="B119" s="1" t="str">
        <f t="shared" si="138"/>
        <v>ADIFSE</v>
      </c>
      <c r="C119" s="1" t="str">
        <f t="shared" si="139"/>
        <v>MAY</v>
      </c>
      <c r="D119" s="1" t="s">
        <v>163</v>
      </c>
      <c r="E119" s="30" t="str">
        <f>H119</f>
        <v>Otros</v>
      </c>
      <c r="F119" s="90" t="s">
        <v>280</v>
      </c>
      <c r="G119" s="32" t="s">
        <v>283</v>
      </c>
      <c r="H119" s="32" t="s">
        <v>202</v>
      </c>
      <c r="I119" s="32" t="s">
        <v>202</v>
      </c>
      <c r="J119" s="32" t="s">
        <v>166</v>
      </c>
      <c r="K119" s="51">
        <v>520000000</v>
      </c>
      <c r="L119" s="34"/>
      <c r="M119" s="34"/>
      <c r="N119" s="34"/>
      <c r="O119" s="38">
        <f>+O94</f>
        <v>1500000000</v>
      </c>
      <c r="P119" s="34"/>
      <c r="Q119" s="36">
        <f t="shared" si="298"/>
        <v>1500000000</v>
      </c>
      <c r="R119" s="34"/>
      <c r="S119" s="34"/>
      <c r="T119" s="34"/>
      <c r="U119" s="38">
        <f>+U94</f>
        <v>0</v>
      </c>
      <c r="V119" s="34"/>
      <c r="W119" s="36">
        <f t="shared" si="166"/>
        <v>0</v>
      </c>
      <c r="X119" s="34"/>
      <c r="Y119" s="34"/>
      <c r="Z119" s="34"/>
      <c r="AA119" s="38">
        <f>+AA94</f>
        <v>200000000</v>
      </c>
      <c r="AB119" s="34"/>
      <c r="AC119" s="36">
        <f t="shared" si="299"/>
        <v>200000000</v>
      </c>
      <c r="AD119" s="34"/>
      <c r="AE119" s="34"/>
      <c r="AF119" s="34"/>
      <c r="AG119" s="38">
        <f>+AG94</f>
        <v>200000000</v>
      </c>
      <c r="AH119" s="34"/>
      <c r="AI119" s="36">
        <f t="shared" si="300"/>
        <v>200000000</v>
      </c>
      <c r="AJ119" s="34"/>
      <c r="AK119" s="34"/>
      <c r="AL119" s="34"/>
      <c r="AM119" s="38">
        <f>+AM94</f>
        <v>150000000</v>
      </c>
      <c r="AN119" s="34"/>
      <c r="AO119" s="36">
        <f t="shared" si="301"/>
        <v>150000000</v>
      </c>
      <c r="AP119" s="34"/>
      <c r="AQ119" s="34"/>
      <c r="AR119" s="34"/>
      <c r="AS119" s="38">
        <f>+AS94</f>
        <v>150000000</v>
      </c>
      <c r="AT119" s="34"/>
      <c r="AU119" s="36">
        <f t="shared" si="302"/>
        <v>150000000</v>
      </c>
      <c r="AV119" s="34"/>
      <c r="AW119" s="34"/>
      <c r="AX119" s="34"/>
      <c r="AY119" s="38">
        <f>+AY94</f>
        <v>150000000</v>
      </c>
      <c r="AZ119" s="34"/>
      <c r="BA119" s="36">
        <f t="shared" si="303"/>
        <v>150000000</v>
      </c>
      <c r="BB119" s="34"/>
      <c r="BC119" s="34"/>
      <c r="BD119" s="34"/>
      <c r="BE119" s="38">
        <f>+BE94</f>
        <v>150000000</v>
      </c>
      <c r="BF119" s="34"/>
      <c r="BG119" s="36">
        <f t="shared" si="304"/>
        <v>150000000</v>
      </c>
      <c r="BH119" s="34"/>
      <c r="BI119" s="34"/>
      <c r="BJ119" s="34"/>
      <c r="BK119" s="38">
        <f>+BK94</f>
        <v>150000000</v>
      </c>
      <c r="BL119" s="34"/>
      <c r="BM119" s="36">
        <f t="shared" si="305"/>
        <v>150000000</v>
      </c>
      <c r="BN119" s="34"/>
      <c r="BO119" s="34"/>
      <c r="BP119" s="34"/>
      <c r="BQ119" s="38">
        <f>+BQ94</f>
        <v>150000000</v>
      </c>
      <c r="BR119" s="34"/>
      <c r="BS119" s="36">
        <f t="shared" si="306"/>
        <v>150000000</v>
      </c>
      <c r="BT119" s="34"/>
      <c r="BU119" s="34"/>
      <c r="BV119" s="34"/>
      <c r="BW119" s="38">
        <f>+BW94</f>
        <v>100000000</v>
      </c>
      <c r="BX119" s="34"/>
      <c r="BY119" s="36">
        <f t="shared" si="307"/>
        <v>100000000</v>
      </c>
      <c r="BZ119" s="34"/>
      <c r="CA119" s="34"/>
      <c r="CB119" s="34"/>
      <c r="CC119" s="38">
        <f>+CC94</f>
        <v>100000000</v>
      </c>
      <c r="CD119" s="34"/>
      <c r="CE119" s="36">
        <f t="shared" si="308"/>
        <v>100000000</v>
      </c>
      <c r="CF119" s="34"/>
      <c r="CG119" s="34"/>
      <c r="CH119" s="34"/>
      <c r="CI119" s="38">
        <f>+CI94</f>
        <v>0</v>
      </c>
      <c r="CJ119" s="34"/>
      <c r="CK119" s="36">
        <f t="shared" si="309"/>
        <v>0</v>
      </c>
      <c r="CL119" s="67">
        <f t="shared" si="146"/>
        <v>0</v>
      </c>
      <c r="CM119" s="67">
        <f t="shared" si="146"/>
        <v>0</v>
      </c>
      <c r="CN119" s="67">
        <f t="shared" si="146"/>
        <v>0</v>
      </c>
      <c r="CO119" s="67">
        <f t="shared" si="141"/>
        <v>1500000000</v>
      </c>
      <c r="CP119" s="67">
        <f t="shared" si="141"/>
        <v>0</v>
      </c>
      <c r="CQ119" s="67">
        <f t="shared" si="141"/>
        <v>1500000000</v>
      </c>
      <c r="CR119" s="37">
        <f t="shared" si="212"/>
        <v>0</v>
      </c>
      <c r="CS119" s="39">
        <f t="shared" si="241"/>
        <v>200000000</v>
      </c>
      <c r="CT119" s="53">
        <f t="shared" si="242"/>
        <v>200000000</v>
      </c>
      <c r="CU119" s="39">
        <f t="shared" si="243"/>
        <v>150000000</v>
      </c>
      <c r="CV119" s="39">
        <f t="shared" si="244"/>
        <v>150000000</v>
      </c>
      <c r="CW119" s="39">
        <f t="shared" si="245"/>
        <v>150000000</v>
      </c>
      <c r="CX119" s="39">
        <f t="shared" si="246"/>
        <v>150000000</v>
      </c>
      <c r="CY119" s="39">
        <f t="shared" si="247"/>
        <v>150000000</v>
      </c>
      <c r="CZ119" s="39">
        <f t="shared" si="248"/>
        <v>150000000</v>
      </c>
      <c r="DA119" s="39">
        <f t="shared" si="249"/>
        <v>100000000</v>
      </c>
      <c r="DB119" s="39">
        <f t="shared" si="250"/>
        <v>100000000</v>
      </c>
      <c r="DC119" s="39">
        <f t="shared" si="251"/>
        <v>0</v>
      </c>
      <c r="DD119" s="39">
        <f>+HLOOKUP('Reporte Evolución Mensual'!$F$2-2,$CR$2:$DC$251, Input!$DG119, FALSE)</f>
        <v>261394424.86878335</v>
      </c>
      <c r="DE119" s="39">
        <f>+HLOOKUP('Reporte Evolución Mensual'!$F$2-1,$CR$2:$DC$251, Input!$DG119, FALSE)</f>
        <v>500000000</v>
      </c>
      <c r="DF119" s="39">
        <f>+HLOOKUP('Reporte Evolución Mensual'!$F$2,$CR$2:$DC$371, Input!$DG119, FALSE)</f>
        <v>604323463.09872198</v>
      </c>
      <c r="DG119" s="40">
        <f t="shared" si="297"/>
        <v>119</v>
      </c>
      <c r="DH119" s="39"/>
      <c r="DI119" s="37">
        <f t="shared" si="310"/>
        <v>0</v>
      </c>
      <c r="DJ119" s="37">
        <f t="shared" si="311"/>
        <v>200000000</v>
      </c>
      <c r="DK119" s="37">
        <f t="shared" si="311"/>
        <v>400000000</v>
      </c>
      <c r="DL119" s="37">
        <f t="shared" si="311"/>
        <v>550000000</v>
      </c>
      <c r="DM119" s="37">
        <f t="shared" si="311"/>
        <v>700000000</v>
      </c>
      <c r="DN119" s="37">
        <f t="shared" si="311"/>
        <v>850000000</v>
      </c>
      <c r="DO119" s="37">
        <f t="shared" si="311"/>
        <v>1000000000</v>
      </c>
      <c r="DP119" s="37">
        <f t="shared" si="311"/>
        <v>1150000000</v>
      </c>
      <c r="DQ119" s="37">
        <f t="shared" si="311"/>
        <v>1300000000</v>
      </c>
      <c r="DR119" s="37">
        <f t="shared" si="311"/>
        <v>1400000000</v>
      </c>
      <c r="DS119" s="37">
        <f t="shared" si="311"/>
        <v>1500000000</v>
      </c>
      <c r="DT119" s="37">
        <f t="shared" si="311"/>
        <v>1500000000</v>
      </c>
      <c r="DU119" s="1"/>
      <c r="DV119" s="345" t="s">
        <v>163</v>
      </c>
    </row>
    <row r="120" spans="1:126" ht="15" customHeight="1" x14ac:dyDescent="0.3">
      <c r="A120" s="1" t="str">
        <f t="shared" si="137"/>
        <v>ADIFSE</v>
      </c>
      <c r="B120" s="1" t="str">
        <f t="shared" si="138"/>
        <v>ADIFSE</v>
      </c>
      <c r="C120" s="1" t="str">
        <f t="shared" si="139"/>
        <v>MAY</v>
      </c>
      <c r="D120" s="1" t="s">
        <v>163</v>
      </c>
      <c r="E120" s="30" t="str">
        <f>H120</f>
        <v>Credito Externo</v>
      </c>
      <c r="F120" s="90" t="s">
        <v>281</v>
      </c>
      <c r="G120" s="32" t="s">
        <v>283</v>
      </c>
      <c r="H120" s="32" t="s">
        <v>282</v>
      </c>
      <c r="I120" s="32" t="s">
        <v>282</v>
      </c>
      <c r="J120" s="32" t="s">
        <v>166</v>
      </c>
      <c r="K120" s="51"/>
      <c r="L120" s="34"/>
      <c r="M120" s="34"/>
      <c r="N120" s="34"/>
      <c r="O120" s="34"/>
      <c r="P120" s="38">
        <f>+P94</f>
        <v>6026722795.1344004</v>
      </c>
      <c r="Q120" s="36">
        <f t="shared" si="298"/>
        <v>6026722795.1344004</v>
      </c>
      <c r="R120" s="34"/>
      <c r="S120" s="34"/>
      <c r="T120" s="34"/>
      <c r="U120" s="34"/>
      <c r="V120" s="38">
        <f>+V94</f>
        <v>0</v>
      </c>
      <c r="W120" s="36">
        <f t="shared" si="166"/>
        <v>0</v>
      </c>
      <c r="X120" s="34"/>
      <c r="Y120" s="34"/>
      <c r="Z120" s="34"/>
      <c r="AA120" s="34"/>
      <c r="AB120" s="38">
        <f>+AB94</f>
        <v>92546052.767767996</v>
      </c>
      <c r="AC120" s="36">
        <f t="shared" si="299"/>
        <v>92546052.767767996</v>
      </c>
      <c r="AD120" s="34"/>
      <c r="AE120" s="34"/>
      <c r="AF120" s="34"/>
      <c r="AG120" s="34"/>
      <c r="AH120" s="38">
        <f>+AH94</f>
        <v>261394424.86878335</v>
      </c>
      <c r="AI120" s="36">
        <f t="shared" si="300"/>
        <v>261394424.86878335</v>
      </c>
      <c r="AJ120" s="34"/>
      <c r="AK120" s="34"/>
      <c r="AL120" s="34"/>
      <c r="AM120" s="34"/>
      <c r="AN120" s="38">
        <f>+AN94</f>
        <v>500000000</v>
      </c>
      <c r="AO120" s="36">
        <f t="shared" si="301"/>
        <v>500000000</v>
      </c>
      <c r="AP120" s="34"/>
      <c r="AQ120" s="34"/>
      <c r="AR120" s="34"/>
      <c r="AS120" s="34"/>
      <c r="AT120" s="38">
        <f>+AT94</f>
        <v>604323463.09872198</v>
      </c>
      <c r="AU120" s="36">
        <f t="shared" si="302"/>
        <v>604323463.09872198</v>
      </c>
      <c r="AV120" s="34"/>
      <c r="AW120" s="34"/>
      <c r="AX120" s="34"/>
      <c r="AY120" s="34"/>
      <c r="AZ120" s="38">
        <f>+AZ94</f>
        <v>472682172.34051806</v>
      </c>
      <c r="BA120" s="36">
        <f t="shared" si="303"/>
        <v>472682172.34051806</v>
      </c>
      <c r="BB120" s="34"/>
      <c r="BC120" s="34"/>
      <c r="BD120" s="34"/>
      <c r="BE120" s="34"/>
      <c r="BF120" s="38">
        <f>+BF94</f>
        <v>295648304.62660432</v>
      </c>
      <c r="BG120" s="36">
        <f t="shared" si="304"/>
        <v>295648304.62660432</v>
      </c>
      <c r="BH120" s="34"/>
      <c r="BI120" s="34"/>
      <c r="BJ120" s="34"/>
      <c r="BK120" s="34"/>
      <c r="BL120" s="38">
        <f>+BL94</f>
        <v>456502479.72091794</v>
      </c>
      <c r="BM120" s="36">
        <f t="shared" si="305"/>
        <v>456502479.72091794</v>
      </c>
      <c r="BN120" s="34"/>
      <c r="BO120" s="34"/>
      <c r="BP120" s="34"/>
      <c r="BQ120" s="34"/>
      <c r="BR120" s="38">
        <f>+BR94</f>
        <v>610588957.21385944</v>
      </c>
      <c r="BS120" s="36">
        <f t="shared" si="306"/>
        <v>610588957.21385944</v>
      </c>
      <c r="BT120" s="34"/>
      <c r="BU120" s="34"/>
      <c r="BV120" s="34"/>
      <c r="BW120" s="34"/>
      <c r="BX120" s="38">
        <f>+BX94</f>
        <v>538150982.10768926</v>
      </c>
      <c r="BY120" s="36">
        <f t="shared" si="307"/>
        <v>538150982.10768926</v>
      </c>
      <c r="BZ120" s="34"/>
      <c r="CA120" s="34"/>
      <c r="CB120" s="34"/>
      <c r="CC120" s="34"/>
      <c r="CD120" s="38">
        <f>+CD94</f>
        <v>801381916.11804998</v>
      </c>
      <c r="CE120" s="36">
        <f t="shared" si="308"/>
        <v>801381916.11804998</v>
      </c>
      <c r="CF120" s="34"/>
      <c r="CG120" s="34"/>
      <c r="CH120" s="34"/>
      <c r="CI120" s="34"/>
      <c r="CJ120" s="38">
        <f>+CJ94</f>
        <v>682101636.94691539</v>
      </c>
      <c r="CK120" s="36">
        <f t="shared" si="309"/>
        <v>682101636.94691539</v>
      </c>
      <c r="CL120" s="67">
        <f t="shared" si="146"/>
        <v>0</v>
      </c>
      <c r="CM120" s="67">
        <f t="shared" si="146"/>
        <v>0</v>
      </c>
      <c r="CN120" s="67">
        <f t="shared" si="146"/>
        <v>0</v>
      </c>
      <c r="CO120" s="67">
        <f t="shared" si="141"/>
        <v>0</v>
      </c>
      <c r="CP120" s="67">
        <f t="shared" si="141"/>
        <v>5315320389.8098278</v>
      </c>
      <c r="CQ120" s="67">
        <f t="shared" si="141"/>
        <v>5315320389.8098278</v>
      </c>
      <c r="CR120" s="37">
        <f t="shared" si="212"/>
        <v>0</v>
      </c>
      <c r="CS120" s="39">
        <f t="shared" si="241"/>
        <v>92546052.767767996</v>
      </c>
      <c r="CT120" s="53">
        <f t="shared" si="242"/>
        <v>261394424.86878335</v>
      </c>
      <c r="CU120" s="39">
        <f t="shared" si="243"/>
        <v>500000000</v>
      </c>
      <c r="CV120" s="39">
        <f t="shared" si="244"/>
        <v>604323463.09872198</v>
      </c>
      <c r="CW120" s="39">
        <f t="shared" si="245"/>
        <v>472682172.34051806</v>
      </c>
      <c r="CX120" s="39">
        <f t="shared" si="246"/>
        <v>295648304.62660432</v>
      </c>
      <c r="CY120" s="39">
        <f t="shared" si="247"/>
        <v>456502479.72091794</v>
      </c>
      <c r="CZ120" s="39">
        <f t="shared" si="248"/>
        <v>610588957.21385944</v>
      </c>
      <c r="DA120" s="39">
        <f t="shared" si="249"/>
        <v>538150982.10768926</v>
      </c>
      <c r="DB120" s="39">
        <f t="shared" si="250"/>
        <v>801381916.11804998</v>
      </c>
      <c r="DC120" s="39">
        <f t="shared" si="251"/>
        <v>682101636.94691539</v>
      </c>
      <c r="DD120" s="39">
        <f>+HLOOKUP('Reporte Evolución Mensual'!$F$2-2,$CR$2:$DC$251, Input!$DG120, FALSE)</f>
        <v>899619424.86878335</v>
      </c>
      <c r="DE120" s="39">
        <f>+HLOOKUP('Reporte Evolución Mensual'!$F$2-1,$CR$2:$DC$251, Input!$DG120, FALSE)</f>
        <v>886851211.68071795</v>
      </c>
      <c r="DF120" s="39">
        <f>+HLOOKUP('Reporte Evolución Mensual'!$F$2,$CR$2:$DC$371, Input!$DG120, FALSE)</f>
        <v>1043971826.2901583</v>
      </c>
      <c r="DG120" s="40">
        <f t="shared" si="297"/>
        <v>120</v>
      </c>
      <c r="DH120" s="39"/>
      <c r="DI120" s="37">
        <f t="shared" si="310"/>
        <v>0</v>
      </c>
      <c r="DJ120" s="37">
        <f t="shared" si="311"/>
        <v>92546052.767767996</v>
      </c>
      <c r="DK120" s="37">
        <f t="shared" si="311"/>
        <v>353940477.63655138</v>
      </c>
      <c r="DL120" s="37">
        <f t="shared" si="311"/>
        <v>853940477.63655138</v>
      </c>
      <c r="DM120" s="37">
        <f t="shared" si="311"/>
        <v>1458263940.7352734</v>
      </c>
      <c r="DN120" s="37">
        <f t="shared" si="311"/>
        <v>1930946113.0757914</v>
      </c>
      <c r="DO120" s="37">
        <f t="shared" si="311"/>
        <v>2226594417.7023954</v>
      </c>
      <c r="DP120" s="37">
        <f t="shared" si="311"/>
        <v>2683096897.4233131</v>
      </c>
      <c r="DQ120" s="37">
        <f t="shared" si="311"/>
        <v>3293685854.6371727</v>
      </c>
      <c r="DR120" s="37">
        <f t="shared" si="311"/>
        <v>3831836836.7448621</v>
      </c>
      <c r="DS120" s="37">
        <f t="shared" si="311"/>
        <v>4633218752.8629122</v>
      </c>
      <c r="DT120" s="37">
        <f t="shared" si="311"/>
        <v>5315320389.8098278</v>
      </c>
      <c r="DU120" s="1"/>
      <c r="DV120" s="345" t="s">
        <v>163</v>
      </c>
    </row>
    <row r="121" spans="1:126" ht="15" customHeight="1" x14ac:dyDescent="0.3">
      <c r="A121" s="1" t="str">
        <f t="shared" si="137"/>
        <v>ADIFSE</v>
      </c>
      <c r="B121" s="1" t="str">
        <f t="shared" si="138"/>
        <v>ADIFSE</v>
      </c>
      <c r="C121" s="1" t="str">
        <f t="shared" si="139"/>
        <v>MAY</v>
      </c>
      <c r="D121" s="41" t="s">
        <v>108</v>
      </c>
      <c r="E121" s="54" t="str">
        <f>CONCATENATE(G121," - ",I121)</f>
        <v>Financiamiento Egresos de Capital  - Total</v>
      </c>
      <c r="F121" s="43"/>
      <c r="G121" s="32" t="s">
        <v>283</v>
      </c>
      <c r="H121" s="32" t="s">
        <v>173</v>
      </c>
      <c r="I121" s="32" t="s">
        <v>173</v>
      </c>
      <c r="J121" s="32" t="s">
        <v>166</v>
      </c>
      <c r="K121" s="91">
        <f t="shared" ref="K121" si="312">SUM(K116:K120)</f>
        <v>4604103578</v>
      </c>
      <c r="L121" s="91">
        <f t="shared" ref="L121:P121" si="313">SUM(L116:L120)</f>
        <v>3505800000</v>
      </c>
      <c r="M121" s="91">
        <f t="shared" si="313"/>
        <v>0</v>
      </c>
      <c r="N121" s="91">
        <f t="shared" si="313"/>
        <v>0</v>
      </c>
      <c r="O121" s="91">
        <f t="shared" si="313"/>
        <v>1500000000</v>
      </c>
      <c r="P121" s="91">
        <f t="shared" si="313"/>
        <v>6026722795.1344004</v>
      </c>
      <c r="Q121" s="92">
        <f t="shared" si="298"/>
        <v>11032522795.134399</v>
      </c>
      <c r="R121" s="91">
        <f t="shared" ref="R121:V121" si="314">SUM(R116:R120)</f>
        <v>358995615.60461777</v>
      </c>
      <c r="S121" s="91">
        <f t="shared" si="314"/>
        <v>0</v>
      </c>
      <c r="T121" s="91">
        <f t="shared" si="314"/>
        <v>0</v>
      </c>
      <c r="U121" s="91">
        <f t="shared" si="314"/>
        <v>0</v>
      </c>
      <c r="V121" s="91">
        <f t="shared" si="314"/>
        <v>0</v>
      </c>
      <c r="W121" s="92">
        <f t="shared" si="166"/>
        <v>358995615.60461777</v>
      </c>
      <c r="X121" s="91">
        <f t="shared" ref="X121:AB121" si="315">SUM(X116:X120)</f>
        <v>438225000</v>
      </c>
      <c r="Y121" s="91">
        <f t="shared" si="315"/>
        <v>0</v>
      </c>
      <c r="Z121" s="91">
        <f t="shared" si="315"/>
        <v>0</v>
      </c>
      <c r="AA121" s="91">
        <f t="shared" si="315"/>
        <v>200000000</v>
      </c>
      <c r="AB121" s="91">
        <f t="shared" si="315"/>
        <v>92546052.767767996</v>
      </c>
      <c r="AC121" s="92">
        <f t="shared" si="299"/>
        <v>730771052.76776803</v>
      </c>
      <c r="AD121" s="91">
        <f t="shared" ref="AD121:AH121" si="316">SUM(AD116:AD120)</f>
        <v>438225000</v>
      </c>
      <c r="AE121" s="91">
        <f t="shared" si="316"/>
        <v>0</v>
      </c>
      <c r="AF121" s="91">
        <f t="shared" si="316"/>
        <v>0</v>
      </c>
      <c r="AG121" s="91">
        <f t="shared" si="316"/>
        <v>200000000</v>
      </c>
      <c r="AH121" s="91">
        <f t="shared" si="316"/>
        <v>261394424.86878335</v>
      </c>
      <c r="AI121" s="92">
        <f t="shared" si="300"/>
        <v>899619424.86878335</v>
      </c>
      <c r="AJ121" s="91">
        <f t="shared" ref="AJ121:AN121" si="317">SUM(AJ116:AJ120)</f>
        <v>236851211.680718</v>
      </c>
      <c r="AK121" s="91">
        <f t="shared" si="317"/>
        <v>0</v>
      </c>
      <c r="AL121" s="91">
        <f t="shared" si="317"/>
        <v>0</v>
      </c>
      <c r="AM121" s="91">
        <f t="shared" si="317"/>
        <v>150000000</v>
      </c>
      <c r="AN121" s="91">
        <f t="shared" si="317"/>
        <v>500000000</v>
      </c>
      <c r="AO121" s="92">
        <f t="shared" si="301"/>
        <v>886851211.68071795</v>
      </c>
      <c r="AP121" s="91">
        <f t="shared" ref="AP121:AT121" si="318">SUM(AP116:AP120)</f>
        <v>289648363.19143629</v>
      </c>
      <c r="AQ121" s="91">
        <f t="shared" si="318"/>
        <v>0</v>
      </c>
      <c r="AR121" s="91">
        <f t="shared" si="318"/>
        <v>0</v>
      </c>
      <c r="AS121" s="91">
        <f t="shared" si="318"/>
        <v>150000000</v>
      </c>
      <c r="AT121" s="91">
        <f t="shared" si="318"/>
        <v>604323463.09872198</v>
      </c>
      <c r="AU121" s="92">
        <f t="shared" si="302"/>
        <v>1043971826.2901583</v>
      </c>
      <c r="AV121" s="91">
        <f t="shared" ref="AV121:AZ121" si="319">SUM(AV116:AV120)</f>
        <v>485501141.61841416</v>
      </c>
      <c r="AW121" s="91">
        <f t="shared" si="319"/>
        <v>0</v>
      </c>
      <c r="AX121" s="91">
        <f t="shared" si="319"/>
        <v>0</v>
      </c>
      <c r="AY121" s="91">
        <f t="shared" si="319"/>
        <v>150000000</v>
      </c>
      <c r="AZ121" s="91">
        <f t="shared" si="319"/>
        <v>472682172.34051806</v>
      </c>
      <c r="BA121" s="92">
        <f t="shared" si="303"/>
        <v>1108183313.9589322</v>
      </c>
      <c r="BB121" s="91">
        <f t="shared" ref="BB121:BF121" si="320">SUM(BB116:BB120)</f>
        <v>652004049.14677906</v>
      </c>
      <c r="BC121" s="91">
        <f t="shared" si="320"/>
        <v>0</v>
      </c>
      <c r="BD121" s="91">
        <f t="shared" si="320"/>
        <v>0</v>
      </c>
      <c r="BE121" s="91">
        <f t="shared" si="320"/>
        <v>150000000</v>
      </c>
      <c r="BF121" s="91">
        <f t="shared" si="320"/>
        <v>295648304.62660432</v>
      </c>
      <c r="BG121" s="92">
        <f t="shared" si="304"/>
        <v>1097652353.7733834</v>
      </c>
      <c r="BH121" s="91">
        <f t="shared" ref="BH121:BL121" si="321">SUM(BH116:BH120)</f>
        <v>483685274.81260371</v>
      </c>
      <c r="BI121" s="91">
        <f t="shared" si="321"/>
        <v>0</v>
      </c>
      <c r="BJ121" s="91">
        <f t="shared" si="321"/>
        <v>0</v>
      </c>
      <c r="BK121" s="91">
        <f t="shared" si="321"/>
        <v>150000000</v>
      </c>
      <c r="BL121" s="91">
        <f t="shared" si="321"/>
        <v>456502479.72091794</v>
      </c>
      <c r="BM121" s="92">
        <f t="shared" si="305"/>
        <v>1090187754.5335217</v>
      </c>
      <c r="BN121" s="91">
        <f t="shared" ref="BN121:BR121" si="322">SUM(BN116:BN120)</f>
        <v>430030259.96091521</v>
      </c>
      <c r="BO121" s="91">
        <f t="shared" si="322"/>
        <v>0</v>
      </c>
      <c r="BP121" s="91">
        <f t="shared" si="322"/>
        <v>0</v>
      </c>
      <c r="BQ121" s="91">
        <f t="shared" si="322"/>
        <v>150000000</v>
      </c>
      <c r="BR121" s="91">
        <f t="shared" si="322"/>
        <v>610588957.21385944</v>
      </c>
      <c r="BS121" s="92">
        <f t="shared" si="306"/>
        <v>1190619217.1747746</v>
      </c>
      <c r="BT121" s="91">
        <f t="shared" ref="BT121:BX121" si="323">SUM(BT116:BT120)</f>
        <v>613303691.14505875</v>
      </c>
      <c r="BU121" s="91">
        <f t="shared" si="323"/>
        <v>0</v>
      </c>
      <c r="BV121" s="91">
        <f t="shared" si="323"/>
        <v>0</v>
      </c>
      <c r="BW121" s="91">
        <f t="shared" si="323"/>
        <v>100000000</v>
      </c>
      <c r="BX121" s="91">
        <f t="shared" si="323"/>
        <v>538150982.10768926</v>
      </c>
      <c r="BY121" s="92">
        <f t="shared" si="307"/>
        <v>1251454673.252748</v>
      </c>
      <c r="BZ121" s="91">
        <f t="shared" ref="BZ121:CD121" si="324">SUM(BZ116:BZ120)</f>
        <v>293872654.51091683</v>
      </c>
      <c r="CA121" s="91">
        <f t="shared" si="324"/>
        <v>0</v>
      </c>
      <c r="CB121" s="91">
        <f t="shared" si="324"/>
        <v>0</v>
      </c>
      <c r="CC121" s="91">
        <f t="shared" si="324"/>
        <v>100000000</v>
      </c>
      <c r="CD121" s="91">
        <f t="shared" si="324"/>
        <v>801381916.11804998</v>
      </c>
      <c r="CE121" s="92">
        <f t="shared" si="308"/>
        <v>1195254570.6289668</v>
      </c>
      <c r="CF121" s="91">
        <f t="shared" ref="CF121:CJ121" si="325">SUM(CF116:CF120)</f>
        <v>553532463.42286646</v>
      </c>
      <c r="CG121" s="91">
        <f t="shared" si="325"/>
        <v>0</v>
      </c>
      <c r="CH121" s="91">
        <f t="shared" si="325"/>
        <v>0</v>
      </c>
      <c r="CI121" s="91">
        <f t="shared" si="325"/>
        <v>0</v>
      </c>
      <c r="CJ121" s="91">
        <f t="shared" si="325"/>
        <v>682101636.94691539</v>
      </c>
      <c r="CK121" s="92">
        <f t="shared" si="309"/>
        <v>1235634100.369782</v>
      </c>
      <c r="CL121" s="56">
        <f t="shared" si="146"/>
        <v>5273874725.094327</v>
      </c>
      <c r="CM121" s="56">
        <f t="shared" si="146"/>
        <v>0</v>
      </c>
      <c r="CN121" s="56">
        <f t="shared" si="146"/>
        <v>0</v>
      </c>
      <c r="CO121" s="56">
        <f t="shared" si="141"/>
        <v>1500000000</v>
      </c>
      <c r="CP121" s="56">
        <f t="shared" si="141"/>
        <v>5315320389.8098278</v>
      </c>
      <c r="CQ121" s="56">
        <f t="shared" si="141"/>
        <v>12089195114.904154</v>
      </c>
      <c r="CR121" s="37">
        <f t="shared" si="212"/>
        <v>358995615.60461777</v>
      </c>
      <c r="CS121" s="39">
        <f t="shared" si="241"/>
        <v>730771052.76776803</v>
      </c>
      <c r="CT121" s="53">
        <f t="shared" si="242"/>
        <v>899619424.86878335</v>
      </c>
      <c r="CU121" s="39">
        <f t="shared" si="243"/>
        <v>886851211.68071795</v>
      </c>
      <c r="CV121" s="39">
        <f t="shared" si="244"/>
        <v>1043971826.2901583</v>
      </c>
      <c r="CW121" s="39">
        <f t="shared" si="245"/>
        <v>1108183313.9589322</v>
      </c>
      <c r="CX121" s="39">
        <f t="shared" si="246"/>
        <v>1097652353.7733834</v>
      </c>
      <c r="CY121" s="39">
        <f t="shared" si="247"/>
        <v>1090187754.5335217</v>
      </c>
      <c r="CZ121" s="39">
        <f t="shared" si="248"/>
        <v>1190619217.1747746</v>
      </c>
      <c r="DA121" s="39">
        <f t="shared" si="249"/>
        <v>1251454673.252748</v>
      </c>
      <c r="DB121" s="39">
        <f t="shared" si="250"/>
        <v>1195254570.6289668</v>
      </c>
      <c r="DC121" s="39">
        <f t="shared" si="251"/>
        <v>1235634100.369782</v>
      </c>
      <c r="DD121" s="39">
        <f>+HLOOKUP('Reporte Evolución Mensual'!$F$2-2,$CR$2:$DC$251, Input!$DG121, FALSE)</f>
        <v>0</v>
      </c>
      <c r="DE121" s="39">
        <f>+HLOOKUP('Reporte Evolución Mensual'!$F$2-1,$CR$2:$DC$251, Input!$DG121, FALSE)</f>
        <v>0</v>
      </c>
      <c r="DF121" s="39">
        <f>+HLOOKUP('Reporte Evolución Mensual'!$F$2,$CR$2:$DC$371, Input!$DG121, FALSE)</f>
        <v>0</v>
      </c>
      <c r="DG121" s="40">
        <f t="shared" si="297"/>
        <v>121</v>
      </c>
      <c r="DH121" s="39"/>
      <c r="DI121" s="37">
        <f t="shared" si="310"/>
        <v>358995615.60461777</v>
      </c>
      <c r="DJ121" s="37">
        <f t="shared" si="311"/>
        <v>1089766668.3723857</v>
      </c>
      <c r="DK121" s="37">
        <f t="shared" si="311"/>
        <v>1989386093.241169</v>
      </c>
      <c r="DL121" s="37">
        <f t="shared" si="311"/>
        <v>2876237304.9218869</v>
      </c>
      <c r="DM121" s="37">
        <f t="shared" si="311"/>
        <v>3920209131.2120452</v>
      </c>
      <c r="DN121" s="37">
        <f t="shared" si="311"/>
        <v>5028392445.1709776</v>
      </c>
      <c r="DO121" s="37">
        <f t="shared" si="311"/>
        <v>6126044798.9443607</v>
      </c>
      <c r="DP121" s="37">
        <f t="shared" si="311"/>
        <v>7216232553.4778824</v>
      </c>
      <c r="DQ121" s="37">
        <f t="shared" si="311"/>
        <v>8406851770.6526566</v>
      </c>
      <c r="DR121" s="37">
        <f t="shared" si="311"/>
        <v>9658306443.905405</v>
      </c>
      <c r="DS121" s="37">
        <f t="shared" si="311"/>
        <v>10853561014.534372</v>
      </c>
      <c r="DT121" s="37">
        <f t="shared" si="311"/>
        <v>12089195114.904154</v>
      </c>
      <c r="DU121" s="1"/>
      <c r="DV121" s="345"/>
    </row>
    <row r="122" spans="1:126" ht="15" customHeight="1" x14ac:dyDescent="0.3">
      <c r="A122" s="1" t="str">
        <f t="shared" si="137"/>
        <v>ADIFSE</v>
      </c>
      <c r="B122" s="1" t="str">
        <f t="shared" si="138"/>
        <v>ADIFSE</v>
      </c>
      <c r="C122" s="1" t="str">
        <f t="shared" si="139"/>
        <v>MAY</v>
      </c>
      <c r="D122" s="41" t="s">
        <v>108</v>
      </c>
      <c r="E122" s="54" t="s">
        <v>333</v>
      </c>
      <c r="F122" s="43"/>
      <c r="G122" s="32"/>
      <c r="H122" s="32"/>
      <c r="I122" s="32"/>
      <c r="J122" s="32"/>
      <c r="K122" s="48"/>
      <c r="L122" s="91"/>
      <c r="M122" s="91"/>
      <c r="N122" s="91"/>
      <c r="O122" s="91"/>
      <c r="P122" s="91"/>
      <c r="Q122" s="92"/>
      <c r="R122" s="91"/>
      <c r="S122" s="91"/>
      <c r="T122" s="91"/>
      <c r="U122" s="91"/>
      <c r="V122" s="91"/>
      <c r="W122" s="92"/>
      <c r="X122" s="91"/>
      <c r="Y122" s="91"/>
      <c r="Z122" s="91"/>
      <c r="AA122" s="91"/>
      <c r="AB122" s="91"/>
      <c r="AC122" s="92"/>
      <c r="AD122" s="91"/>
      <c r="AE122" s="91"/>
      <c r="AF122" s="91"/>
      <c r="AG122" s="91"/>
      <c r="AH122" s="91"/>
      <c r="AI122" s="92"/>
      <c r="AJ122" s="91"/>
      <c r="AK122" s="91"/>
      <c r="AL122" s="91"/>
      <c r="AM122" s="91"/>
      <c r="AN122" s="91"/>
      <c r="AO122" s="92"/>
      <c r="AP122" s="91"/>
      <c r="AQ122" s="91"/>
      <c r="AR122" s="91"/>
      <c r="AS122" s="91"/>
      <c r="AT122" s="91"/>
      <c r="AU122" s="92"/>
      <c r="AV122" s="91"/>
      <c r="AW122" s="91"/>
      <c r="AX122" s="91"/>
      <c r="AY122" s="91"/>
      <c r="AZ122" s="91"/>
      <c r="BA122" s="92"/>
      <c r="BB122" s="91"/>
      <c r="BC122" s="91"/>
      <c r="BD122" s="91"/>
      <c r="BE122" s="91"/>
      <c r="BF122" s="91"/>
      <c r="BG122" s="92"/>
      <c r="BH122" s="91"/>
      <c r="BI122" s="91"/>
      <c r="BJ122" s="91"/>
      <c r="BK122" s="91"/>
      <c r="BL122" s="91"/>
      <c r="BM122" s="92"/>
      <c r="BN122" s="91"/>
      <c r="BO122" s="91"/>
      <c r="BP122" s="91"/>
      <c r="BQ122" s="91"/>
      <c r="BR122" s="91"/>
      <c r="BS122" s="92"/>
      <c r="BT122" s="91"/>
      <c r="BU122" s="91"/>
      <c r="BV122" s="91"/>
      <c r="BW122" s="91"/>
      <c r="BX122" s="91"/>
      <c r="BY122" s="92"/>
      <c r="BZ122" s="91"/>
      <c r="CA122" s="91"/>
      <c r="CB122" s="91"/>
      <c r="CC122" s="91"/>
      <c r="CD122" s="91"/>
      <c r="CE122" s="92"/>
      <c r="CF122" s="91"/>
      <c r="CG122" s="91"/>
      <c r="CH122" s="91"/>
      <c r="CI122" s="91"/>
      <c r="CJ122" s="91"/>
      <c r="CK122" s="92"/>
      <c r="CL122" s="56"/>
      <c r="CM122" s="56"/>
      <c r="CN122" s="56"/>
      <c r="CO122" s="56"/>
      <c r="CP122" s="56"/>
      <c r="CQ122" s="56"/>
      <c r="CR122" s="37"/>
      <c r="CS122" s="39"/>
      <c r="CT122" s="53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>
        <f>+HLOOKUP('Reporte Evolución Mensual'!$F$2-2,$CR$2:$DC$251, Input!$DG122, FALSE)</f>
        <v>0</v>
      </c>
      <c r="DE122" s="39">
        <f>+HLOOKUP('Reporte Evolución Mensual'!$F$2-1,$CR$2:$DC$251, Input!$DG122, FALSE)</f>
        <v>0</v>
      </c>
      <c r="DF122" s="39">
        <f>+HLOOKUP('Reporte Evolución Mensual'!$F$2,$CR$2:$DC$371, Input!$DG122, FALSE)</f>
        <v>0</v>
      </c>
      <c r="DG122" s="40">
        <f t="shared" si="297"/>
        <v>122</v>
      </c>
      <c r="DH122" s="39"/>
      <c r="DI122" s="39"/>
      <c r="DJ122" s="39"/>
      <c r="DK122" s="39"/>
      <c r="DL122" s="39"/>
      <c r="DM122" s="39"/>
      <c r="DN122" s="39"/>
      <c r="DO122" s="58"/>
      <c r="DP122" s="58"/>
      <c r="DQ122" s="58"/>
      <c r="DR122" s="58"/>
      <c r="DS122" s="41"/>
      <c r="DT122" s="41"/>
      <c r="DU122" s="1"/>
      <c r="DV122" s="345"/>
    </row>
    <row r="123" spans="1:126" ht="15" customHeight="1" x14ac:dyDescent="0.3">
      <c r="A123" s="1" t="str">
        <f t="shared" si="137"/>
        <v>ADIFSE</v>
      </c>
      <c r="B123" s="1" t="str">
        <f t="shared" si="138"/>
        <v>ADIFSE</v>
      </c>
      <c r="C123" s="1" t="str">
        <f t="shared" si="139"/>
        <v>MAY</v>
      </c>
      <c r="D123" s="41" t="s">
        <v>108</v>
      </c>
      <c r="E123" s="64" t="s">
        <v>284</v>
      </c>
      <c r="F123" s="43"/>
      <c r="G123" s="32"/>
      <c r="H123" s="32"/>
      <c r="I123" s="32"/>
      <c r="J123" s="32"/>
      <c r="K123" s="48"/>
      <c r="L123" s="91"/>
      <c r="M123" s="91"/>
      <c r="N123" s="91"/>
      <c r="O123" s="91"/>
      <c r="P123" s="91"/>
      <c r="Q123" s="92"/>
      <c r="R123" s="91"/>
      <c r="S123" s="91"/>
      <c r="T123" s="91"/>
      <c r="U123" s="91"/>
      <c r="V123" s="91"/>
      <c r="W123" s="92"/>
      <c r="X123" s="91"/>
      <c r="Y123" s="91"/>
      <c r="Z123" s="91"/>
      <c r="AA123" s="91"/>
      <c r="AB123" s="91"/>
      <c r="AC123" s="92"/>
      <c r="AD123" s="91"/>
      <c r="AE123" s="91"/>
      <c r="AF123" s="91"/>
      <c r="AG123" s="91"/>
      <c r="AH123" s="91"/>
      <c r="AI123" s="92"/>
      <c r="AJ123" s="91"/>
      <c r="AK123" s="91"/>
      <c r="AL123" s="91"/>
      <c r="AM123" s="91"/>
      <c r="AN123" s="91"/>
      <c r="AO123" s="92"/>
      <c r="AP123" s="91"/>
      <c r="AQ123" s="91"/>
      <c r="AR123" s="91"/>
      <c r="AS123" s="91"/>
      <c r="AT123" s="91"/>
      <c r="AU123" s="92"/>
      <c r="AV123" s="91"/>
      <c r="AW123" s="91"/>
      <c r="AX123" s="91"/>
      <c r="AY123" s="91"/>
      <c r="AZ123" s="91"/>
      <c r="BA123" s="92"/>
      <c r="BB123" s="91"/>
      <c r="BC123" s="91"/>
      <c r="BD123" s="91"/>
      <c r="BE123" s="91"/>
      <c r="BF123" s="91"/>
      <c r="BG123" s="92"/>
      <c r="BH123" s="91"/>
      <c r="BI123" s="91"/>
      <c r="BJ123" s="91"/>
      <c r="BK123" s="91"/>
      <c r="BL123" s="91"/>
      <c r="BM123" s="92"/>
      <c r="BN123" s="91"/>
      <c r="BO123" s="91"/>
      <c r="BP123" s="91"/>
      <c r="BQ123" s="91"/>
      <c r="BR123" s="91"/>
      <c r="BS123" s="92"/>
      <c r="BT123" s="91"/>
      <c r="BU123" s="91"/>
      <c r="BV123" s="91"/>
      <c r="BW123" s="91"/>
      <c r="BX123" s="91"/>
      <c r="BY123" s="92"/>
      <c r="BZ123" s="91"/>
      <c r="CA123" s="91"/>
      <c r="CB123" s="91"/>
      <c r="CC123" s="91"/>
      <c r="CD123" s="91"/>
      <c r="CE123" s="92"/>
      <c r="CF123" s="91"/>
      <c r="CG123" s="91"/>
      <c r="CH123" s="91"/>
      <c r="CI123" s="91"/>
      <c r="CJ123" s="91"/>
      <c r="CK123" s="92"/>
      <c r="CL123" s="56"/>
      <c r="CM123" s="56"/>
      <c r="CN123" s="56"/>
      <c r="CO123" s="56"/>
      <c r="CP123" s="56"/>
      <c r="CQ123" s="56"/>
      <c r="CR123" s="37"/>
      <c r="CS123" s="39"/>
      <c r="CT123" s="53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>
        <f>+HLOOKUP('Reporte Evolución Mensual'!$F$2-2,$CR$2:$DC$251, Input!$DG123, FALSE)</f>
        <v>31000000</v>
      </c>
      <c r="DE123" s="39">
        <f>+HLOOKUP('Reporte Evolución Mensual'!$F$2-1,$CR$2:$DC$251, Input!$DG123, FALSE)</f>
        <v>170045480.32684785</v>
      </c>
      <c r="DF123" s="39">
        <f>+HLOOKUP('Reporte Evolución Mensual'!$F$2,$CR$2:$DC$371, Input!$DG123, FALSE)</f>
        <v>62075647.650901705</v>
      </c>
      <c r="DG123" s="40">
        <f t="shared" si="297"/>
        <v>123</v>
      </c>
      <c r="DH123" s="39"/>
      <c r="DI123" s="39"/>
      <c r="DJ123" s="39"/>
      <c r="DK123" s="39"/>
      <c r="DL123" s="39"/>
      <c r="DM123" s="39"/>
      <c r="DN123" s="39"/>
      <c r="DO123" s="58"/>
      <c r="DP123" s="58"/>
      <c r="DQ123" s="58"/>
      <c r="DR123" s="58"/>
      <c r="DS123" s="41"/>
      <c r="DT123" s="41"/>
      <c r="DU123" s="1"/>
      <c r="DV123" s="345"/>
    </row>
    <row r="124" spans="1:126" ht="15" customHeight="1" x14ac:dyDescent="0.3">
      <c r="A124" s="1" t="str">
        <f t="shared" si="137"/>
        <v>ADIFSE</v>
      </c>
      <c r="B124" s="1" t="str">
        <f t="shared" si="138"/>
        <v>ADIFSE</v>
      </c>
      <c r="C124" s="1" t="str">
        <f t="shared" si="139"/>
        <v>MAY</v>
      </c>
      <c r="D124" s="1" t="s">
        <v>163</v>
      </c>
      <c r="E124" s="30" t="str">
        <f>H124</f>
        <v>Tesoro y Crédito Interno</v>
      </c>
      <c r="F124" s="90" t="s">
        <v>272</v>
      </c>
      <c r="G124" s="32" t="s">
        <v>283</v>
      </c>
      <c r="H124" s="32" t="s">
        <v>274</v>
      </c>
      <c r="I124" s="32" t="s">
        <v>274</v>
      </c>
      <c r="J124" s="32" t="s">
        <v>166</v>
      </c>
      <c r="K124" s="51"/>
      <c r="L124" s="38">
        <f t="shared" ref="L124" si="326">+L105</f>
        <v>0</v>
      </c>
      <c r="M124" s="91"/>
      <c r="N124" s="91"/>
      <c r="O124" s="91"/>
      <c r="P124" s="91"/>
      <c r="Q124" s="36">
        <f t="shared" ref="Q124:Q129" si="327">SUM(L124:P124)</f>
        <v>0</v>
      </c>
      <c r="R124" s="38">
        <f t="shared" ref="R124" si="328">+R105</f>
        <v>0</v>
      </c>
      <c r="S124" s="91"/>
      <c r="T124" s="91"/>
      <c r="U124" s="91"/>
      <c r="V124" s="91"/>
      <c r="W124" s="36">
        <f t="shared" si="166"/>
        <v>0</v>
      </c>
      <c r="X124" s="38">
        <f t="shared" ref="X124" si="329">+X105</f>
        <v>45380000</v>
      </c>
      <c r="Y124" s="91"/>
      <c r="Z124" s="91"/>
      <c r="AA124" s="91"/>
      <c r="AB124" s="91"/>
      <c r="AC124" s="36">
        <f t="shared" ref="AC124:AC129" si="330">SUM(X124:AB124)</f>
        <v>45380000</v>
      </c>
      <c r="AD124" s="38">
        <f t="shared" ref="AD124" si="331">+AD105</f>
        <v>31000000</v>
      </c>
      <c r="AE124" s="91"/>
      <c r="AF124" s="91"/>
      <c r="AG124" s="91"/>
      <c r="AH124" s="91"/>
      <c r="AI124" s="36">
        <f t="shared" ref="AI124:AI129" si="332">SUM(AD124:AH124)</f>
        <v>31000000</v>
      </c>
      <c r="AJ124" s="38">
        <f t="shared" ref="AJ124" si="333">+AJ105</f>
        <v>170045480.32684785</v>
      </c>
      <c r="AK124" s="91"/>
      <c r="AL124" s="91"/>
      <c r="AM124" s="91"/>
      <c r="AN124" s="91"/>
      <c r="AO124" s="36">
        <f t="shared" ref="AO124:AO129" si="334">SUM(AJ124:AN124)</f>
        <v>170045480.32684785</v>
      </c>
      <c r="AP124" s="38">
        <f t="shared" ref="AP124" si="335">+AP105</f>
        <v>62075647.650901705</v>
      </c>
      <c r="AQ124" s="91"/>
      <c r="AR124" s="91"/>
      <c r="AS124" s="91"/>
      <c r="AT124" s="91"/>
      <c r="AU124" s="36">
        <f t="shared" ref="AU124:AU129" si="336">SUM(AP124:AT124)</f>
        <v>62075647.650901705</v>
      </c>
      <c r="AV124" s="38">
        <f t="shared" ref="AV124" si="337">+AV105</f>
        <v>47642159.007278219</v>
      </c>
      <c r="AW124" s="91"/>
      <c r="AX124" s="91"/>
      <c r="AY124" s="91"/>
      <c r="AZ124" s="91"/>
      <c r="BA124" s="36">
        <f t="shared" ref="BA124:BA129" si="338">SUM(AV124:AZ124)</f>
        <v>47642159.007278219</v>
      </c>
      <c r="BB124" s="38">
        <f t="shared" ref="BB124" si="339">+BB105</f>
        <v>0</v>
      </c>
      <c r="BC124" s="91"/>
      <c r="BD124" s="91"/>
      <c r="BE124" s="91"/>
      <c r="BF124" s="91"/>
      <c r="BG124" s="36">
        <f t="shared" ref="BG124:BG129" si="340">SUM(BB124:BF124)</f>
        <v>0</v>
      </c>
      <c r="BH124" s="38">
        <f t="shared" ref="BH124" si="341">+BH105</f>
        <v>0</v>
      </c>
      <c r="BI124" s="91"/>
      <c r="BJ124" s="91"/>
      <c r="BK124" s="91"/>
      <c r="BL124" s="91"/>
      <c r="BM124" s="36">
        <f t="shared" ref="BM124:BM129" si="342">SUM(BH124:BL124)</f>
        <v>0</v>
      </c>
      <c r="BN124" s="38">
        <f t="shared" ref="BN124" si="343">+BN105</f>
        <v>0</v>
      </c>
      <c r="BO124" s="91"/>
      <c r="BP124" s="91"/>
      <c r="BQ124" s="91"/>
      <c r="BR124" s="91"/>
      <c r="BS124" s="36">
        <f t="shared" ref="BS124:BS129" si="344">SUM(BN124:BR124)</f>
        <v>0</v>
      </c>
      <c r="BT124" s="38">
        <f t="shared" ref="BT124" si="345">+BT105</f>
        <v>0</v>
      </c>
      <c r="BU124" s="91"/>
      <c r="BV124" s="91"/>
      <c r="BW124" s="91"/>
      <c r="BX124" s="91"/>
      <c r="BY124" s="36">
        <f t="shared" ref="BY124:BY129" si="346">SUM(BT124:BX124)</f>
        <v>0</v>
      </c>
      <c r="BZ124" s="38">
        <f t="shared" ref="BZ124" si="347">+BZ105</f>
        <v>0</v>
      </c>
      <c r="CA124" s="91"/>
      <c r="CB124" s="91"/>
      <c r="CC124" s="91"/>
      <c r="CD124" s="91"/>
      <c r="CE124" s="36">
        <f t="shared" ref="CE124:CE129" si="348">SUM(BZ124:CD124)</f>
        <v>0</v>
      </c>
      <c r="CF124" s="38">
        <f t="shared" ref="CF124" si="349">+CF105</f>
        <v>0</v>
      </c>
      <c r="CG124" s="91"/>
      <c r="CH124" s="91"/>
      <c r="CI124" s="91"/>
      <c r="CJ124" s="91"/>
      <c r="CK124" s="36">
        <f t="shared" ref="CK124:CK129" si="350">SUM(CF124:CJ124)</f>
        <v>0</v>
      </c>
      <c r="CL124" s="67">
        <f t="shared" si="146"/>
        <v>356143286.98502779</v>
      </c>
      <c r="CM124" s="67">
        <f t="shared" si="146"/>
        <v>0</v>
      </c>
      <c r="CN124" s="67">
        <f t="shared" si="146"/>
        <v>0</v>
      </c>
      <c r="CO124" s="67">
        <f t="shared" si="141"/>
        <v>0</v>
      </c>
      <c r="CP124" s="67">
        <f t="shared" si="141"/>
        <v>0</v>
      </c>
      <c r="CQ124" s="67">
        <f t="shared" si="141"/>
        <v>356143286.98502779</v>
      </c>
      <c r="CR124" s="37">
        <f t="shared" si="212"/>
        <v>0</v>
      </c>
      <c r="CS124" s="39">
        <f t="shared" si="241"/>
        <v>45380000</v>
      </c>
      <c r="CT124" s="53">
        <f t="shared" si="242"/>
        <v>31000000</v>
      </c>
      <c r="CU124" s="39">
        <f t="shared" si="243"/>
        <v>170045480.32684785</v>
      </c>
      <c r="CV124" s="39">
        <f t="shared" si="244"/>
        <v>62075647.650901705</v>
      </c>
      <c r="CW124" s="39">
        <f t="shared" si="245"/>
        <v>47642159.007278219</v>
      </c>
      <c r="CX124" s="39">
        <f t="shared" si="246"/>
        <v>0</v>
      </c>
      <c r="CY124" s="39">
        <f t="shared" si="247"/>
        <v>0</v>
      </c>
      <c r="CZ124" s="39">
        <f t="shared" si="248"/>
        <v>0</v>
      </c>
      <c r="DA124" s="39">
        <f t="shared" si="249"/>
        <v>0</v>
      </c>
      <c r="DB124" s="39">
        <f t="shared" si="250"/>
        <v>0</v>
      </c>
      <c r="DC124" s="39">
        <f t="shared" si="251"/>
        <v>0</v>
      </c>
      <c r="DD124" s="39">
        <f>+HLOOKUP('Reporte Evolución Mensual'!$F$2-2,$CR$2:$DC$251, Input!$DG124, FALSE)</f>
        <v>15436121.666666668</v>
      </c>
      <c r="DE124" s="39">
        <f>+HLOOKUP('Reporte Evolución Mensual'!$F$2-1,$CR$2:$DC$251, Input!$DG124, FALSE)</f>
        <v>17040832.651625</v>
      </c>
      <c r="DF124" s="39">
        <f>+HLOOKUP('Reporte Evolución Mensual'!$F$2,$CR$2:$DC$371, Input!$DG124, FALSE)</f>
        <v>22761577.926625002</v>
      </c>
      <c r="DG124" s="40">
        <f t="shared" si="297"/>
        <v>124</v>
      </c>
      <c r="DH124" s="39"/>
      <c r="DI124" s="37">
        <f t="shared" ref="DI124:DI129" si="351">+CR124</f>
        <v>0</v>
      </c>
      <c r="DJ124" s="37">
        <f t="shared" ref="DJ124:DT129" si="352">+DI124+CS124</f>
        <v>45380000</v>
      </c>
      <c r="DK124" s="37">
        <f t="shared" si="352"/>
        <v>76380000</v>
      </c>
      <c r="DL124" s="37">
        <f t="shared" si="352"/>
        <v>246425480.32684785</v>
      </c>
      <c r="DM124" s="37">
        <f t="shared" si="352"/>
        <v>308501127.97774959</v>
      </c>
      <c r="DN124" s="37">
        <f t="shared" si="352"/>
        <v>356143286.98502779</v>
      </c>
      <c r="DO124" s="37">
        <f t="shared" si="352"/>
        <v>356143286.98502779</v>
      </c>
      <c r="DP124" s="37">
        <f t="shared" si="352"/>
        <v>356143286.98502779</v>
      </c>
      <c r="DQ124" s="37">
        <f t="shared" si="352"/>
        <v>356143286.98502779</v>
      </c>
      <c r="DR124" s="37">
        <f t="shared" si="352"/>
        <v>356143286.98502779</v>
      </c>
      <c r="DS124" s="37">
        <f t="shared" si="352"/>
        <v>356143286.98502779</v>
      </c>
      <c r="DT124" s="37">
        <f t="shared" si="352"/>
        <v>356143286.98502779</v>
      </c>
      <c r="DU124" s="1"/>
      <c r="DV124" s="345" t="s">
        <v>163</v>
      </c>
    </row>
    <row r="125" spans="1:126" ht="15" customHeight="1" x14ac:dyDescent="0.3">
      <c r="A125" s="1" t="str">
        <f t="shared" si="137"/>
        <v>ADIFSE</v>
      </c>
      <c r="B125" s="1" t="str">
        <f t="shared" si="138"/>
        <v>ADIFSE</v>
      </c>
      <c r="C125" s="1" t="str">
        <f t="shared" si="139"/>
        <v>MAY</v>
      </c>
      <c r="D125" s="1" t="s">
        <v>163</v>
      </c>
      <c r="E125" s="30" t="str">
        <f t="shared" ref="E125:E126" si="353">H125</f>
        <v>Recursos Propios</v>
      </c>
      <c r="F125" s="90" t="s">
        <v>276</v>
      </c>
      <c r="G125" s="32" t="s">
        <v>273</v>
      </c>
      <c r="H125" s="32" t="s">
        <v>275</v>
      </c>
      <c r="I125" s="32" t="s">
        <v>275</v>
      </c>
      <c r="J125" s="32" t="s">
        <v>166</v>
      </c>
      <c r="K125" s="51"/>
      <c r="L125" s="38"/>
      <c r="M125" s="34">
        <f t="shared" ref="M125" si="354">+M105</f>
        <v>0</v>
      </c>
      <c r="N125" s="34"/>
      <c r="O125" s="91"/>
      <c r="P125" s="91"/>
      <c r="Q125" s="36">
        <f t="shared" si="327"/>
        <v>0</v>
      </c>
      <c r="R125" s="38"/>
      <c r="S125" s="34">
        <f t="shared" ref="S125" si="355">+S105</f>
        <v>0</v>
      </c>
      <c r="T125" s="34"/>
      <c r="U125" s="91"/>
      <c r="V125" s="91"/>
      <c r="W125" s="36">
        <f t="shared" si="166"/>
        <v>0</v>
      </c>
      <c r="X125" s="38"/>
      <c r="Y125" s="34">
        <f t="shared" ref="Y125" si="356">+Y105</f>
        <v>12706121.666666666</v>
      </c>
      <c r="Z125" s="34"/>
      <c r="AA125" s="91"/>
      <c r="AB125" s="91"/>
      <c r="AC125" s="36">
        <f t="shared" si="330"/>
        <v>12706121.666666666</v>
      </c>
      <c r="AD125" s="38"/>
      <c r="AE125" s="34">
        <f t="shared" ref="AE125" si="357">+AE105</f>
        <v>15436121.666666668</v>
      </c>
      <c r="AF125" s="34"/>
      <c r="AG125" s="91"/>
      <c r="AH125" s="91"/>
      <c r="AI125" s="36">
        <f t="shared" si="332"/>
        <v>15436121.666666668</v>
      </c>
      <c r="AJ125" s="38"/>
      <c r="AK125" s="34">
        <f t="shared" ref="AK125" si="358">+AK105</f>
        <v>17040832.651625</v>
      </c>
      <c r="AL125" s="34"/>
      <c r="AM125" s="91"/>
      <c r="AN125" s="91"/>
      <c r="AO125" s="36">
        <f t="shared" si="334"/>
        <v>17040832.651625</v>
      </c>
      <c r="AP125" s="38"/>
      <c r="AQ125" s="34">
        <f t="shared" ref="AQ125" si="359">+AQ105</f>
        <v>22761577.926625002</v>
      </c>
      <c r="AR125" s="34"/>
      <c r="AS125" s="91"/>
      <c r="AT125" s="91"/>
      <c r="AU125" s="36">
        <f t="shared" si="336"/>
        <v>22761577.926625002</v>
      </c>
      <c r="AV125" s="38"/>
      <c r="AW125" s="34">
        <f t="shared" ref="AW125" si="360">+AW105</f>
        <v>7990453.4516249998</v>
      </c>
      <c r="AX125" s="34"/>
      <c r="AY125" s="91"/>
      <c r="AZ125" s="91"/>
      <c r="BA125" s="36">
        <f t="shared" si="338"/>
        <v>7990453.4516249998</v>
      </c>
      <c r="BB125" s="38"/>
      <c r="BC125" s="34">
        <f t="shared" ref="BC125" si="361">+BC105</f>
        <v>147936853.45162499</v>
      </c>
      <c r="BD125" s="34"/>
      <c r="BE125" s="91"/>
      <c r="BF125" s="91"/>
      <c r="BG125" s="36">
        <f t="shared" si="340"/>
        <v>147936853.45162499</v>
      </c>
      <c r="BH125" s="38"/>
      <c r="BI125" s="34">
        <f t="shared" ref="BI125" si="362">+BI105</f>
        <v>16884627.82662499</v>
      </c>
      <c r="BJ125" s="34"/>
      <c r="BK125" s="91"/>
      <c r="BL125" s="91"/>
      <c r="BM125" s="36">
        <f t="shared" si="342"/>
        <v>16884627.82662499</v>
      </c>
      <c r="BN125" s="38"/>
      <c r="BO125" s="34">
        <f t="shared" ref="BO125" si="363">+BO105</f>
        <v>14061072.959999999</v>
      </c>
      <c r="BP125" s="34"/>
      <c r="BQ125" s="91"/>
      <c r="BR125" s="91"/>
      <c r="BS125" s="36">
        <f t="shared" si="344"/>
        <v>14061072.959999999</v>
      </c>
      <c r="BT125" s="38"/>
      <c r="BU125" s="34">
        <f t="shared" ref="BU125" si="364">+BU105</f>
        <v>19166952.449999999</v>
      </c>
      <c r="BV125" s="34"/>
      <c r="BW125" s="91"/>
      <c r="BX125" s="91"/>
      <c r="BY125" s="36">
        <f t="shared" si="346"/>
        <v>19166952.449999999</v>
      </c>
      <c r="BZ125" s="38"/>
      <c r="CA125" s="34">
        <f t="shared" ref="CA125" si="365">+CA105</f>
        <v>4305900</v>
      </c>
      <c r="CB125" s="34"/>
      <c r="CC125" s="91"/>
      <c r="CD125" s="91"/>
      <c r="CE125" s="36">
        <f t="shared" si="348"/>
        <v>4305900</v>
      </c>
      <c r="CF125" s="38"/>
      <c r="CG125" s="34">
        <f t="shared" ref="CG125" si="366">+CG105</f>
        <v>4495150</v>
      </c>
      <c r="CH125" s="34"/>
      <c r="CI125" s="91"/>
      <c r="CJ125" s="91"/>
      <c r="CK125" s="36">
        <f t="shared" si="350"/>
        <v>4495150</v>
      </c>
      <c r="CL125" s="67">
        <f t="shared" si="146"/>
        <v>0</v>
      </c>
      <c r="CM125" s="67">
        <f t="shared" si="146"/>
        <v>282785664.05145836</v>
      </c>
      <c r="CN125" s="67">
        <f t="shared" si="146"/>
        <v>0</v>
      </c>
      <c r="CO125" s="67">
        <f t="shared" si="141"/>
        <v>0</v>
      </c>
      <c r="CP125" s="67">
        <f t="shared" si="141"/>
        <v>0</v>
      </c>
      <c r="CQ125" s="67">
        <f t="shared" si="141"/>
        <v>282785664.05145836</v>
      </c>
      <c r="CR125" s="37">
        <f t="shared" si="212"/>
        <v>0</v>
      </c>
      <c r="CS125" s="39">
        <f t="shared" si="241"/>
        <v>12706121.666666666</v>
      </c>
      <c r="CT125" s="53">
        <f t="shared" si="242"/>
        <v>15436121.666666668</v>
      </c>
      <c r="CU125" s="39">
        <f t="shared" si="243"/>
        <v>17040832.651625</v>
      </c>
      <c r="CV125" s="39">
        <f t="shared" si="244"/>
        <v>22761577.926625002</v>
      </c>
      <c r="CW125" s="39">
        <f t="shared" si="245"/>
        <v>7990453.4516249998</v>
      </c>
      <c r="CX125" s="39">
        <f t="shared" si="246"/>
        <v>147936853.45162499</v>
      </c>
      <c r="CY125" s="39">
        <f t="shared" si="247"/>
        <v>16884627.82662499</v>
      </c>
      <c r="CZ125" s="39">
        <f t="shared" si="248"/>
        <v>14061072.959999999</v>
      </c>
      <c r="DA125" s="39">
        <f t="shared" si="249"/>
        <v>19166952.449999999</v>
      </c>
      <c r="DB125" s="39">
        <f t="shared" si="250"/>
        <v>4305900</v>
      </c>
      <c r="DC125" s="39">
        <f t="shared" si="251"/>
        <v>4495150</v>
      </c>
      <c r="DD125" s="39">
        <f>+HLOOKUP('Reporte Evolución Mensual'!$F$2-2,$CR$2:$DC$251, Input!$DG125, FALSE)</f>
        <v>0</v>
      </c>
      <c r="DE125" s="39">
        <f>+HLOOKUP('Reporte Evolución Mensual'!$F$2-1,$CR$2:$DC$251, Input!$DG125, FALSE)</f>
        <v>0</v>
      </c>
      <c r="DF125" s="39">
        <f>+HLOOKUP('Reporte Evolución Mensual'!$F$2,$CR$2:$DC$371, Input!$DG125, FALSE)</f>
        <v>0</v>
      </c>
      <c r="DG125" s="40">
        <f t="shared" si="297"/>
        <v>125</v>
      </c>
      <c r="DH125" s="39"/>
      <c r="DI125" s="37">
        <f t="shared" si="351"/>
        <v>0</v>
      </c>
      <c r="DJ125" s="37">
        <f t="shared" si="352"/>
        <v>12706121.666666666</v>
      </c>
      <c r="DK125" s="37">
        <f t="shared" si="352"/>
        <v>28142243.333333336</v>
      </c>
      <c r="DL125" s="37">
        <f t="shared" si="352"/>
        <v>45183075.984958336</v>
      </c>
      <c r="DM125" s="37">
        <f t="shared" si="352"/>
        <v>67944653.911583334</v>
      </c>
      <c r="DN125" s="37">
        <f t="shared" si="352"/>
        <v>75935107.363208339</v>
      </c>
      <c r="DO125" s="37">
        <f t="shared" si="352"/>
        <v>223871960.81483334</v>
      </c>
      <c r="DP125" s="37">
        <f t="shared" si="352"/>
        <v>240756588.64145833</v>
      </c>
      <c r="DQ125" s="37">
        <f t="shared" si="352"/>
        <v>254817661.60145834</v>
      </c>
      <c r="DR125" s="37">
        <f t="shared" si="352"/>
        <v>273984614.05145836</v>
      </c>
      <c r="DS125" s="37">
        <f t="shared" si="352"/>
        <v>278290514.05145836</v>
      </c>
      <c r="DT125" s="37">
        <f t="shared" si="352"/>
        <v>282785664.05145836</v>
      </c>
      <c r="DU125" s="1"/>
      <c r="DV125" s="345" t="s">
        <v>163</v>
      </c>
    </row>
    <row r="126" spans="1:126" ht="15" customHeight="1" x14ac:dyDescent="0.3">
      <c r="A126" s="1" t="str">
        <f t="shared" si="137"/>
        <v>ADIFSE</v>
      </c>
      <c r="B126" s="1" t="str">
        <f t="shared" si="138"/>
        <v>ADIFSE</v>
      </c>
      <c r="C126" s="1" t="str">
        <f t="shared" si="139"/>
        <v>MAY</v>
      </c>
      <c r="D126" s="1" t="s">
        <v>163</v>
      </c>
      <c r="E126" s="30" t="str">
        <f t="shared" si="353"/>
        <v>Recursos con afectación</v>
      </c>
      <c r="F126" s="90" t="s">
        <v>278</v>
      </c>
      <c r="G126" s="32" t="s">
        <v>273</v>
      </c>
      <c r="H126" s="32" t="s">
        <v>279</v>
      </c>
      <c r="I126" s="32" t="s">
        <v>279</v>
      </c>
      <c r="J126" s="32" t="s">
        <v>166</v>
      </c>
      <c r="K126" s="51"/>
      <c r="L126" s="38"/>
      <c r="M126" s="34"/>
      <c r="N126" s="34">
        <f t="shared" ref="N126" si="367">+N105</f>
        <v>0</v>
      </c>
      <c r="O126" s="91"/>
      <c r="P126" s="91"/>
      <c r="Q126" s="36">
        <f t="shared" si="327"/>
        <v>0</v>
      </c>
      <c r="R126" s="38"/>
      <c r="S126" s="34"/>
      <c r="T126" s="34">
        <f t="shared" ref="T126" si="368">+T105</f>
        <v>0</v>
      </c>
      <c r="U126" s="91"/>
      <c r="V126" s="91"/>
      <c r="W126" s="36">
        <f t="shared" si="166"/>
        <v>0</v>
      </c>
      <c r="X126" s="38"/>
      <c r="Y126" s="34"/>
      <c r="Z126" s="34">
        <f t="shared" ref="Z126" si="369">+Z105</f>
        <v>0</v>
      </c>
      <c r="AA126" s="91"/>
      <c r="AB126" s="91"/>
      <c r="AC126" s="36">
        <f t="shared" si="330"/>
        <v>0</v>
      </c>
      <c r="AD126" s="38"/>
      <c r="AE126" s="34"/>
      <c r="AF126" s="34">
        <f t="shared" ref="AF126" si="370">+AF105</f>
        <v>0</v>
      </c>
      <c r="AG126" s="91"/>
      <c r="AH126" s="91"/>
      <c r="AI126" s="36">
        <f t="shared" si="332"/>
        <v>0</v>
      </c>
      <c r="AJ126" s="38"/>
      <c r="AK126" s="34"/>
      <c r="AL126" s="34">
        <f t="shared" ref="AL126" si="371">+AL105</f>
        <v>0</v>
      </c>
      <c r="AM126" s="91"/>
      <c r="AN126" s="91"/>
      <c r="AO126" s="36">
        <f t="shared" si="334"/>
        <v>0</v>
      </c>
      <c r="AP126" s="38"/>
      <c r="AQ126" s="34"/>
      <c r="AR126" s="34">
        <f t="shared" ref="AR126" si="372">+AR105</f>
        <v>0</v>
      </c>
      <c r="AS126" s="91"/>
      <c r="AT126" s="91"/>
      <c r="AU126" s="36">
        <f t="shared" si="336"/>
        <v>0</v>
      </c>
      <c r="AV126" s="38"/>
      <c r="AW126" s="34"/>
      <c r="AX126" s="34">
        <f t="shared" ref="AX126" si="373">+AX105</f>
        <v>0</v>
      </c>
      <c r="AY126" s="91"/>
      <c r="AZ126" s="91"/>
      <c r="BA126" s="36">
        <f t="shared" si="338"/>
        <v>0</v>
      </c>
      <c r="BB126" s="38"/>
      <c r="BC126" s="34"/>
      <c r="BD126" s="34">
        <f t="shared" ref="BD126" si="374">+BD105</f>
        <v>0</v>
      </c>
      <c r="BE126" s="91"/>
      <c r="BF126" s="91"/>
      <c r="BG126" s="36">
        <f t="shared" si="340"/>
        <v>0</v>
      </c>
      <c r="BH126" s="38"/>
      <c r="BI126" s="34"/>
      <c r="BJ126" s="34">
        <f t="shared" ref="BJ126" si="375">+BJ105</f>
        <v>0</v>
      </c>
      <c r="BK126" s="91"/>
      <c r="BL126" s="91"/>
      <c r="BM126" s="36">
        <f t="shared" si="342"/>
        <v>0</v>
      </c>
      <c r="BN126" s="38"/>
      <c r="BO126" s="34"/>
      <c r="BP126" s="34">
        <f t="shared" ref="BP126" si="376">+BP105</f>
        <v>0</v>
      </c>
      <c r="BQ126" s="91"/>
      <c r="BR126" s="91"/>
      <c r="BS126" s="36">
        <f t="shared" si="344"/>
        <v>0</v>
      </c>
      <c r="BT126" s="38"/>
      <c r="BU126" s="34"/>
      <c r="BV126" s="34">
        <f t="shared" ref="BV126" si="377">+BV105</f>
        <v>0</v>
      </c>
      <c r="BW126" s="91"/>
      <c r="BX126" s="91"/>
      <c r="BY126" s="36">
        <f t="shared" si="346"/>
        <v>0</v>
      </c>
      <c r="BZ126" s="38"/>
      <c r="CA126" s="34"/>
      <c r="CB126" s="34">
        <f t="shared" ref="CB126" si="378">+CB105</f>
        <v>0</v>
      </c>
      <c r="CC126" s="91"/>
      <c r="CD126" s="91"/>
      <c r="CE126" s="36">
        <f t="shared" si="348"/>
        <v>0</v>
      </c>
      <c r="CF126" s="38"/>
      <c r="CG126" s="34"/>
      <c r="CH126" s="34">
        <f t="shared" ref="CH126" si="379">+CH105</f>
        <v>0</v>
      </c>
      <c r="CI126" s="91"/>
      <c r="CJ126" s="91"/>
      <c r="CK126" s="36">
        <f t="shared" si="350"/>
        <v>0</v>
      </c>
      <c r="CL126" s="67">
        <f t="shared" si="146"/>
        <v>0</v>
      </c>
      <c r="CM126" s="67">
        <f t="shared" si="146"/>
        <v>0</v>
      </c>
      <c r="CN126" s="67">
        <f t="shared" si="146"/>
        <v>0</v>
      </c>
      <c r="CO126" s="67">
        <f t="shared" si="141"/>
        <v>0</v>
      </c>
      <c r="CP126" s="67">
        <f t="shared" si="141"/>
        <v>0</v>
      </c>
      <c r="CQ126" s="67">
        <f t="shared" si="141"/>
        <v>0</v>
      </c>
      <c r="CR126" s="37">
        <f t="shared" si="212"/>
        <v>0</v>
      </c>
      <c r="CS126" s="39">
        <f t="shared" si="241"/>
        <v>0</v>
      </c>
      <c r="CT126" s="53">
        <f t="shared" si="242"/>
        <v>0</v>
      </c>
      <c r="CU126" s="39">
        <f t="shared" si="243"/>
        <v>0</v>
      </c>
      <c r="CV126" s="39">
        <f t="shared" si="244"/>
        <v>0</v>
      </c>
      <c r="CW126" s="39">
        <f t="shared" si="245"/>
        <v>0</v>
      </c>
      <c r="CX126" s="39">
        <f t="shared" si="246"/>
        <v>0</v>
      </c>
      <c r="CY126" s="39">
        <f t="shared" si="247"/>
        <v>0</v>
      </c>
      <c r="CZ126" s="39">
        <f t="shared" si="248"/>
        <v>0</v>
      </c>
      <c r="DA126" s="39">
        <f t="shared" si="249"/>
        <v>0</v>
      </c>
      <c r="DB126" s="39">
        <f t="shared" si="250"/>
        <v>0</v>
      </c>
      <c r="DC126" s="39">
        <f t="shared" si="251"/>
        <v>0</v>
      </c>
      <c r="DD126" s="39">
        <f>+HLOOKUP('Reporte Evolución Mensual'!$F$2-2,$CR$2:$DC$251, Input!$DG126, FALSE)</f>
        <v>0</v>
      </c>
      <c r="DE126" s="39">
        <f>+HLOOKUP('Reporte Evolución Mensual'!$F$2-1,$CR$2:$DC$251, Input!$DG126, FALSE)</f>
        <v>0</v>
      </c>
      <c r="DF126" s="39">
        <f>+HLOOKUP('Reporte Evolución Mensual'!$F$2,$CR$2:$DC$371, Input!$DG126, FALSE)</f>
        <v>0</v>
      </c>
      <c r="DG126" s="40">
        <f t="shared" si="297"/>
        <v>126</v>
      </c>
      <c r="DH126" s="39"/>
      <c r="DI126" s="37">
        <f t="shared" si="351"/>
        <v>0</v>
      </c>
      <c r="DJ126" s="37">
        <f t="shared" si="352"/>
        <v>0</v>
      </c>
      <c r="DK126" s="37">
        <f t="shared" si="352"/>
        <v>0</v>
      </c>
      <c r="DL126" s="37">
        <f t="shared" si="352"/>
        <v>0</v>
      </c>
      <c r="DM126" s="37">
        <f t="shared" si="352"/>
        <v>0</v>
      </c>
      <c r="DN126" s="37">
        <f t="shared" si="352"/>
        <v>0</v>
      </c>
      <c r="DO126" s="37">
        <f t="shared" si="352"/>
        <v>0</v>
      </c>
      <c r="DP126" s="37">
        <f t="shared" si="352"/>
        <v>0</v>
      </c>
      <c r="DQ126" s="37">
        <f t="shared" si="352"/>
        <v>0</v>
      </c>
      <c r="DR126" s="37">
        <f t="shared" si="352"/>
        <v>0</v>
      </c>
      <c r="DS126" s="37">
        <f t="shared" si="352"/>
        <v>0</v>
      </c>
      <c r="DT126" s="37">
        <f t="shared" si="352"/>
        <v>0</v>
      </c>
      <c r="DU126" s="1"/>
      <c r="DV126" s="345" t="s">
        <v>108</v>
      </c>
    </row>
    <row r="127" spans="1:126" ht="15" customHeight="1" x14ac:dyDescent="0.3">
      <c r="A127" s="1" t="str">
        <f t="shared" si="137"/>
        <v>ADIFSE</v>
      </c>
      <c r="B127" s="1" t="str">
        <f t="shared" si="138"/>
        <v>ADIFSE</v>
      </c>
      <c r="C127" s="1" t="str">
        <f t="shared" si="139"/>
        <v>MAY</v>
      </c>
      <c r="D127" s="1" t="s">
        <v>163</v>
      </c>
      <c r="E127" s="30" t="str">
        <f>H127</f>
        <v>Otros</v>
      </c>
      <c r="F127" s="90" t="s">
        <v>280</v>
      </c>
      <c r="G127" s="32" t="s">
        <v>283</v>
      </c>
      <c r="H127" s="32" t="s">
        <v>202</v>
      </c>
      <c r="I127" s="32" t="s">
        <v>202</v>
      </c>
      <c r="J127" s="32" t="s">
        <v>166</v>
      </c>
      <c r="K127" s="51"/>
      <c r="L127" s="34"/>
      <c r="M127" s="34"/>
      <c r="N127" s="34"/>
      <c r="O127" s="38">
        <f t="shared" ref="O127" si="380">+O105</f>
        <v>0</v>
      </c>
      <c r="P127" s="34"/>
      <c r="Q127" s="36">
        <f t="shared" si="327"/>
        <v>0</v>
      </c>
      <c r="R127" s="34"/>
      <c r="S127" s="34"/>
      <c r="T127" s="34"/>
      <c r="U127" s="38">
        <f t="shared" ref="U127" si="381">+U105</f>
        <v>0</v>
      </c>
      <c r="V127" s="34"/>
      <c r="W127" s="36">
        <f t="shared" si="166"/>
        <v>0</v>
      </c>
      <c r="X127" s="34"/>
      <c r="Y127" s="34"/>
      <c r="Z127" s="34"/>
      <c r="AA127" s="38">
        <f t="shared" ref="AA127" si="382">+AA105</f>
        <v>15000000</v>
      </c>
      <c r="AB127" s="34"/>
      <c r="AC127" s="36">
        <f t="shared" si="330"/>
        <v>15000000</v>
      </c>
      <c r="AD127" s="34"/>
      <c r="AE127" s="34"/>
      <c r="AF127" s="34"/>
      <c r="AG127" s="38">
        <f t="shared" ref="AG127" si="383">+AG105</f>
        <v>0</v>
      </c>
      <c r="AH127" s="34"/>
      <c r="AI127" s="36">
        <f t="shared" si="332"/>
        <v>0</v>
      </c>
      <c r="AJ127" s="34"/>
      <c r="AK127" s="34"/>
      <c r="AL127" s="34"/>
      <c r="AM127" s="38">
        <f t="shared" ref="AM127" si="384">+AM105</f>
        <v>0</v>
      </c>
      <c r="AN127" s="34"/>
      <c r="AO127" s="36">
        <f t="shared" si="334"/>
        <v>0</v>
      </c>
      <c r="AP127" s="34"/>
      <c r="AQ127" s="34"/>
      <c r="AR127" s="34"/>
      <c r="AS127" s="38">
        <f t="shared" ref="AS127" si="385">+AS105</f>
        <v>0</v>
      </c>
      <c r="AT127" s="34"/>
      <c r="AU127" s="36">
        <f t="shared" si="336"/>
        <v>0</v>
      </c>
      <c r="AV127" s="34"/>
      <c r="AW127" s="34"/>
      <c r="AX127" s="34"/>
      <c r="AY127" s="38">
        <f t="shared" ref="AY127" si="386">+AY105</f>
        <v>15000000</v>
      </c>
      <c r="AZ127" s="34"/>
      <c r="BA127" s="36">
        <f t="shared" si="338"/>
        <v>15000000</v>
      </c>
      <c r="BB127" s="34"/>
      <c r="BC127" s="34"/>
      <c r="BD127" s="34"/>
      <c r="BE127" s="38">
        <f t="shared" ref="BE127" si="387">+BE105</f>
        <v>15000000</v>
      </c>
      <c r="BF127" s="34"/>
      <c r="BG127" s="36">
        <f t="shared" si="340"/>
        <v>15000000</v>
      </c>
      <c r="BH127" s="34"/>
      <c r="BI127" s="34"/>
      <c r="BJ127" s="34"/>
      <c r="BK127" s="38">
        <f t="shared" ref="BK127" si="388">+BK105</f>
        <v>20000000</v>
      </c>
      <c r="BL127" s="34"/>
      <c r="BM127" s="36">
        <f t="shared" si="342"/>
        <v>20000000</v>
      </c>
      <c r="BN127" s="34"/>
      <c r="BO127" s="34"/>
      <c r="BP127" s="34"/>
      <c r="BQ127" s="38">
        <f t="shared" ref="BQ127" si="389">+BQ105</f>
        <v>30000000</v>
      </c>
      <c r="BR127" s="34"/>
      <c r="BS127" s="36">
        <f t="shared" si="344"/>
        <v>30000000</v>
      </c>
      <c r="BT127" s="34"/>
      <c r="BU127" s="34"/>
      <c r="BV127" s="34"/>
      <c r="BW127" s="38">
        <f t="shared" ref="BW127" si="390">+BW105</f>
        <v>30000000</v>
      </c>
      <c r="BX127" s="34"/>
      <c r="BY127" s="36">
        <f t="shared" si="346"/>
        <v>30000000</v>
      </c>
      <c r="BZ127" s="34"/>
      <c r="CA127" s="34"/>
      <c r="CB127" s="34"/>
      <c r="CC127" s="38">
        <f t="shared" ref="CC127" si="391">+CC105</f>
        <v>30000000</v>
      </c>
      <c r="CD127" s="34"/>
      <c r="CE127" s="36">
        <f t="shared" si="348"/>
        <v>30000000</v>
      </c>
      <c r="CF127" s="34"/>
      <c r="CG127" s="34"/>
      <c r="CH127" s="34"/>
      <c r="CI127" s="38">
        <f t="shared" ref="CI127" si="392">+CI105</f>
        <v>30000000</v>
      </c>
      <c r="CJ127" s="34"/>
      <c r="CK127" s="36">
        <f t="shared" si="350"/>
        <v>30000000</v>
      </c>
      <c r="CL127" s="67">
        <f t="shared" si="146"/>
        <v>0</v>
      </c>
      <c r="CM127" s="67">
        <f t="shared" si="146"/>
        <v>0</v>
      </c>
      <c r="CN127" s="67">
        <f t="shared" si="146"/>
        <v>0</v>
      </c>
      <c r="CO127" s="67">
        <f t="shared" si="141"/>
        <v>185000000</v>
      </c>
      <c r="CP127" s="67">
        <f t="shared" si="141"/>
        <v>0</v>
      </c>
      <c r="CQ127" s="67">
        <f t="shared" si="141"/>
        <v>185000000</v>
      </c>
      <c r="CR127" s="37">
        <f t="shared" si="212"/>
        <v>0</v>
      </c>
      <c r="CS127" s="39">
        <f t="shared" si="241"/>
        <v>15000000</v>
      </c>
      <c r="CT127" s="53">
        <f t="shared" si="242"/>
        <v>0</v>
      </c>
      <c r="CU127" s="39">
        <f t="shared" si="243"/>
        <v>0</v>
      </c>
      <c r="CV127" s="39">
        <f t="shared" si="244"/>
        <v>0</v>
      </c>
      <c r="CW127" s="39">
        <f t="shared" si="245"/>
        <v>15000000</v>
      </c>
      <c r="CX127" s="39">
        <f t="shared" si="246"/>
        <v>15000000</v>
      </c>
      <c r="CY127" s="39">
        <f t="shared" si="247"/>
        <v>20000000</v>
      </c>
      <c r="CZ127" s="39">
        <f t="shared" si="248"/>
        <v>30000000</v>
      </c>
      <c r="DA127" s="39">
        <f t="shared" si="249"/>
        <v>30000000</v>
      </c>
      <c r="DB127" s="39">
        <f t="shared" si="250"/>
        <v>30000000</v>
      </c>
      <c r="DC127" s="39">
        <f t="shared" si="251"/>
        <v>30000000</v>
      </c>
      <c r="DD127" s="39">
        <f>+HLOOKUP('Reporte Evolución Mensual'!$F$2-2,$CR$2:$DC$251, Input!$DG127, FALSE)</f>
        <v>202202305.16324827</v>
      </c>
      <c r="DE127" s="39">
        <f>+HLOOKUP('Reporte Evolución Mensual'!$F$2-1,$CR$2:$DC$251, Input!$DG127, FALSE)</f>
        <v>281345908.58843476</v>
      </c>
      <c r="DF127" s="39">
        <f>+HLOOKUP('Reporte Evolución Mensual'!$F$2,$CR$2:$DC$371, Input!$DG127, FALSE)</f>
        <v>424850201.15031314</v>
      </c>
      <c r="DG127" s="40">
        <f t="shared" si="297"/>
        <v>127</v>
      </c>
      <c r="DH127" s="39"/>
      <c r="DI127" s="37">
        <f t="shared" si="351"/>
        <v>0</v>
      </c>
      <c r="DJ127" s="37">
        <f t="shared" si="352"/>
        <v>15000000</v>
      </c>
      <c r="DK127" s="37">
        <f t="shared" si="352"/>
        <v>15000000</v>
      </c>
      <c r="DL127" s="37">
        <f t="shared" si="352"/>
        <v>15000000</v>
      </c>
      <c r="DM127" s="37">
        <f t="shared" si="352"/>
        <v>15000000</v>
      </c>
      <c r="DN127" s="37">
        <f t="shared" si="352"/>
        <v>30000000</v>
      </c>
      <c r="DO127" s="37">
        <f t="shared" si="352"/>
        <v>45000000</v>
      </c>
      <c r="DP127" s="37">
        <f t="shared" si="352"/>
        <v>65000000</v>
      </c>
      <c r="DQ127" s="37">
        <f t="shared" si="352"/>
        <v>95000000</v>
      </c>
      <c r="DR127" s="37">
        <f t="shared" si="352"/>
        <v>125000000</v>
      </c>
      <c r="DS127" s="37">
        <f t="shared" si="352"/>
        <v>155000000</v>
      </c>
      <c r="DT127" s="37">
        <f t="shared" si="352"/>
        <v>185000000</v>
      </c>
      <c r="DU127" s="1"/>
      <c r="DV127" s="345" t="s">
        <v>163</v>
      </c>
    </row>
    <row r="128" spans="1:126" ht="15" customHeight="1" x14ac:dyDescent="0.3">
      <c r="A128" s="1" t="str">
        <f t="shared" si="137"/>
        <v>ADIFSE</v>
      </c>
      <c r="B128" s="1" t="str">
        <f t="shared" si="138"/>
        <v>ADIFSE</v>
      </c>
      <c r="C128" s="1" t="str">
        <f t="shared" si="139"/>
        <v>MAY</v>
      </c>
      <c r="D128" s="1" t="s">
        <v>163</v>
      </c>
      <c r="E128" s="30" t="str">
        <f>H128</f>
        <v>Credito Externo</v>
      </c>
      <c r="F128" s="90" t="s">
        <v>281</v>
      </c>
      <c r="G128" s="32" t="s">
        <v>283</v>
      </c>
      <c r="H128" s="32" t="s">
        <v>282</v>
      </c>
      <c r="I128" s="32" t="s">
        <v>282</v>
      </c>
      <c r="J128" s="32" t="s">
        <v>166</v>
      </c>
      <c r="K128" s="51"/>
      <c r="L128" s="34"/>
      <c r="M128" s="34"/>
      <c r="N128" s="34"/>
      <c r="O128" s="34"/>
      <c r="P128" s="38">
        <f t="shared" ref="P128" si="393">+P105</f>
        <v>0</v>
      </c>
      <c r="Q128" s="36">
        <f t="shared" si="327"/>
        <v>0</v>
      </c>
      <c r="R128" s="34"/>
      <c r="S128" s="34"/>
      <c r="T128" s="34"/>
      <c r="U128" s="34"/>
      <c r="V128" s="38">
        <f t="shared" ref="V128" si="394">+V105</f>
        <v>0</v>
      </c>
      <c r="W128" s="36">
        <f t="shared" si="166"/>
        <v>0</v>
      </c>
      <c r="X128" s="34"/>
      <c r="Y128" s="34"/>
      <c r="Z128" s="34"/>
      <c r="AA128" s="34"/>
      <c r="AB128" s="38">
        <f t="shared" ref="AB128" si="395">+AB105</f>
        <v>50000000</v>
      </c>
      <c r="AC128" s="36">
        <f t="shared" si="330"/>
        <v>50000000</v>
      </c>
      <c r="AD128" s="34"/>
      <c r="AE128" s="34"/>
      <c r="AF128" s="34"/>
      <c r="AG128" s="34"/>
      <c r="AH128" s="38">
        <f t="shared" ref="AH128" si="396">+AH105</f>
        <v>202202305.16324827</v>
      </c>
      <c r="AI128" s="36">
        <f t="shared" si="332"/>
        <v>202202305.16324827</v>
      </c>
      <c r="AJ128" s="34"/>
      <c r="AK128" s="34"/>
      <c r="AL128" s="34"/>
      <c r="AM128" s="34"/>
      <c r="AN128" s="38">
        <f t="shared" ref="AN128" si="397">+AN105</f>
        <v>281345908.58843476</v>
      </c>
      <c r="AO128" s="36">
        <f t="shared" si="334"/>
        <v>281345908.58843476</v>
      </c>
      <c r="AP128" s="34"/>
      <c r="AQ128" s="34"/>
      <c r="AR128" s="34"/>
      <c r="AS128" s="34"/>
      <c r="AT128" s="38">
        <f t="shared" ref="AT128" si="398">+AT105</f>
        <v>424850201.15031314</v>
      </c>
      <c r="AU128" s="36">
        <f t="shared" si="336"/>
        <v>424850201.15031314</v>
      </c>
      <c r="AV128" s="34"/>
      <c r="AW128" s="34"/>
      <c r="AX128" s="34"/>
      <c r="AY128" s="34"/>
      <c r="AZ128" s="38">
        <f t="shared" ref="AZ128" si="399">+AZ105</f>
        <v>525245394.36961913</v>
      </c>
      <c r="BA128" s="36">
        <f t="shared" si="338"/>
        <v>525245394.36961913</v>
      </c>
      <c r="BB128" s="34"/>
      <c r="BC128" s="34"/>
      <c r="BD128" s="34"/>
      <c r="BE128" s="34"/>
      <c r="BF128" s="38">
        <f t="shared" ref="BF128" si="400">+BF105</f>
        <v>598064708.05778909</v>
      </c>
      <c r="BG128" s="36">
        <f t="shared" si="340"/>
        <v>598064708.05778909</v>
      </c>
      <c r="BH128" s="34"/>
      <c r="BI128" s="34"/>
      <c r="BJ128" s="34"/>
      <c r="BK128" s="34"/>
      <c r="BL128" s="38">
        <f t="shared" ref="BL128" si="401">+BL105</f>
        <v>739465551.14385712</v>
      </c>
      <c r="BM128" s="36">
        <f t="shared" si="342"/>
        <v>739465551.14385712</v>
      </c>
      <c r="BN128" s="34"/>
      <c r="BO128" s="34"/>
      <c r="BP128" s="34"/>
      <c r="BQ128" s="34"/>
      <c r="BR128" s="38">
        <f t="shared" ref="BR128" si="402">+BR105</f>
        <v>816059872.87708616</v>
      </c>
      <c r="BS128" s="36">
        <f t="shared" si="344"/>
        <v>816059872.87708616</v>
      </c>
      <c r="BT128" s="34"/>
      <c r="BU128" s="34"/>
      <c r="BV128" s="34"/>
      <c r="BW128" s="34"/>
      <c r="BX128" s="38">
        <f t="shared" ref="BX128" si="403">+BX105</f>
        <v>868926668.27104509</v>
      </c>
      <c r="BY128" s="36">
        <f t="shared" si="346"/>
        <v>868926668.27104509</v>
      </c>
      <c r="BZ128" s="34"/>
      <c r="CA128" s="34"/>
      <c r="CB128" s="34"/>
      <c r="CC128" s="34"/>
      <c r="CD128" s="38">
        <f t="shared" ref="CD128" si="404">+CD105</f>
        <v>1909237817.3326638</v>
      </c>
      <c r="CE128" s="36">
        <f t="shared" si="348"/>
        <v>1909237817.3326638</v>
      </c>
      <c r="CF128" s="34"/>
      <c r="CG128" s="34"/>
      <c r="CH128" s="34"/>
      <c r="CI128" s="34"/>
      <c r="CJ128" s="38">
        <f t="shared" ref="CJ128" si="405">+CJ105</f>
        <v>736566396.58395481</v>
      </c>
      <c r="CK128" s="36">
        <f t="shared" si="350"/>
        <v>736566396.58395481</v>
      </c>
      <c r="CL128" s="67">
        <f t="shared" si="146"/>
        <v>0</v>
      </c>
      <c r="CM128" s="67">
        <f t="shared" si="146"/>
        <v>0</v>
      </c>
      <c r="CN128" s="67">
        <f t="shared" si="146"/>
        <v>0</v>
      </c>
      <c r="CO128" s="67">
        <f t="shared" si="141"/>
        <v>0</v>
      </c>
      <c r="CP128" s="67">
        <f t="shared" si="141"/>
        <v>7151964823.5380106</v>
      </c>
      <c r="CQ128" s="67">
        <f t="shared" si="141"/>
        <v>7151964823.5380106</v>
      </c>
      <c r="CR128" s="37">
        <f t="shared" si="212"/>
        <v>0</v>
      </c>
      <c r="CS128" s="39">
        <f t="shared" si="241"/>
        <v>50000000</v>
      </c>
      <c r="CT128" s="53">
        <f t="shared" si="242"/>
        <v>202202305.16324827</v>
      </c>
      <c r="CU128" s="39">
        <f t="shared" si="243"/>
        <v>281345908.58843476</v>
      </c>
      <c r="CV128" s="39">
        <f t="shared" si="244"/>
        <v>424850201.15031314</v>
      </c>
      <c r="CW128" s="39">
        <f t="shared" si="245"/>
        <v>525245394.36961913</v>
      </c>
      <c r="CX128" s="39">
        <f t="shared" si="246"/>
        <v>598064708.05778909</v>
      </c>
      <c r="CY128" s="39">
        <f t="shared" si="247"/>
        <v>739465551.14385712</v>
      </c>
      <c r="CZ128" s="39">
        <f t="shared" si="248"/>
        <v>816059872.87708616</v>
      </c>
      <c r="DA128" s="39">
        <f t="shared" si="249"/>
        <v>868926668.27104509</v>
      </c>
      <c r="DB128" s="39">
        <f t="shared" si="250"/>
        <v>1909237817.3326638</v>
      </c>
      <c r="DC128" s="39">
        <f t="shared" si="251"/>
        <v>736566396.58395481</v>
      </c>
      <c r="DD128" s="39">
        <f>+HLOOKUP('Reporte Evolución Mensual'!$F$2-2,$CR$2:$DC$251, Input!$DG128, FALSE)</f>
        <v>248638426.82991493</v>
      </c>
      <c r="DE128" s="39">
        <f>+HLOOKUP('Reporte Evolución Mensual'!$F$2-1,$CR$2:$DC$251, Input!$DG128, FALSE)</f>
        <v>468432221.56690764</v>
      </c>
      <c r="DF128" s="39">
        <f>+HLOOKUP('Reporte Evolución Mensual'!$F$2,$CR$2:$DC$371, Input!$DG128, FALSE)</f>
        <v>509687426.72783983</v>
      </c>
      <c r="DG128" s="40">
        <f t="shared" si="297"/>
        <v>128</v>
      </c>
      <c r="DH128" s="39"/>
      <c r="DI128" s="37">
        <f t="shared" si="351"/>
        <v>0</v>
      </c>
      <c r="DJ128" s="37">
        <f t="shared" si="352"/>
        <v>50000000</v>
      </c>
      <c r="DK128" s="37">
        <f t="shared" si="352"/>
        <v>252202305.16324827</v>
      </c>
      <c r="DL128" s="37">
        <f t="shared" si="352"/>
        <v>533548213.751683</v>
      </c>
      <c r="DM128" s="37">
        <f t="shared" si="352"/>
        <v>958398414.90199614</v>
      </c>
      <c r="DN128" s="37">
        <f t="shared" si="352"/>
        <v>1483643809.2716153</v>
      </c>
      <c r="DO128" s="37">
        <f t="shared" si="352"/>
        <v>2081708517.3294044</v>
      </c>
      <c r="DP128" s="37">
        <f t="shared" si="352"/>
        <v>2821174068.4732614</v>
      </c>
      <c r="DQ128" s="37">
        <f t="shared" si="352"/>
        <v>3637233941.3503475</v>
      </c>
      <c r="DR128" s="37">
        <f t="shared" si="352"/>
        <v>4506160609.6213923</v>
      </c>
      <c r="DS128" s="37">
        <f t="shared" si="352"/>
        <v>6415398426.9540558</v>
      </c>
      <c r="DT128" s="37">
        <f t="shared" si="352"/>
        <v>7151964823.5380106</v>
      </c>
      <c r="DU128" s="1"/>
      <c r="DV128" s="345" t="s">
        <v>163</v>
      </c>
    </row>
    <row r="129" spans="1:126" ht="15" customHeight="1" x14ac:dyDescent="0.3">
      <c r="A129" s="1" t="str">
        <f t="shared" si="137"/>
        <v>ADIFSE</v>
      </c>
      <c r="B129" s="1" t="str">
        <f t="shared" si="138"/>
        <v>ADIFSE</v>
      </c>
      <c r="C129" s="1" t="str">
        <f t="shared" si="139"/>
        <v>MAY</v>
      </c>
      <c r="D129" s="41" t="s">
        <v>108</v>
      </c>
      <c r="E129" s="54" t="s">
        <v>285</v>
      </c>
      <c r="F129" s="43"/>
      <c r="G129" s="32" t="s">
        <v>285</v>
      </c>
      <c r="H129" s="32" t="s">
        <v>173</v>
      </c>
      <c r="I129" s="32" t="s">
        <v>173</v>
      </c>
      <c r="J129" s="32" t="s">
        <v>166</v>
      </c>
      <c r="K129" s="91">
        <f t="shared" ref="K129:P129" si="406">SUM(K124:K128)</f>
        <v>0</v>
      </c>
      <c r="L129" s="91">
        <f t="shared" si="406"/>
        <v>0</v>
      </c>
      <c r="M129" s="91">
        <f t="shared" si="406"/>
        <v>0</v>
      </c>
      <c r="N129" s="91">
        <f t="shared" si="406"/>
        <v>0</v>
      </c>
      <c r="O129" s="91">
        <f t="shared" si="406"/>
        <v>0</v>
      </c>
      <c r="P129" s="91">
        <f t="shared" si="406"/>
        <v>0</v>
      </c>
      <c r="Q129" s="92">
        <f t="shared" si="327"/>
        <v>0</v>
      </c>
      <c r="R129" s="91">
        <f t="shared" ref="R129:V129" si="407">SUM(R124:R128)</f>
        <v>0</v>
      </c>
      <c r="S129" s="91">
        <f t="shared" si="407"/>
        <v>0</v>
      </c>
      <c r="T129" s="91">
        <f t="shared" si="407"/>
        <v>0</v>
      </c>
      <c r="U129" s="91">
        <f t="shared" si="407"/>
        <v>0</v>
      </c>
      <c r="V129" s="91">
        <f t="shared" si="407"/>
        <v>0</v>
      </c>
      <c r="W129" s="92">
        <f t="shared" si="166"/>
        <v>0</v>
      </c>
      <c r="X129" s="91">
        <f t="shared" ref="X129:AB129" si="408">SUM(X124:X128)</f>
        <v>45380000</v>
      </c>
      <c r="Y129" s="91">
        <f t="shared" si="408"/>
        <v>12706121.666666666</v>
      </c>
      <c r="Z129" s="91">
        <f t="shared" si="408"/>
        <v>0</v>
      </c>
      <c r="AA129" s="91">
        <f t="shared" si="408"/>
        <v>15000000</v>
      </c>
      <c r="AB129" s="91">
        <f t="shared" si="408"/>
        <v>50000000</v>
      </c>
      <c r="AC129" s="92">
        <f t="shared" si="330"/>
        <v>123086121.66666666</v>
      </c>
      <c r="AD129" s="91">
        <f t="shared" ref="AD129:AH129" si="409">SUM(AD124:AD128)</f>
        <v>31000000</v>
      </c>
      <c r="AE129" s="91">
        <f t="shared" si="409"/>
        <v>15436121.666666668</v>
      </c>
      <c r="AF129" s="91">
        <f t="shared" si="409"/>
        <v>0</v>
      </c>
      <c r="AG129" s="91">
        <f t="shared" si="409"/>
        <v>0</v>
      </c>
      <c r="AH129" s="91">
        <f t="shared" si="409"/>
        <v>202202305.16324827</v>
      </c>
      <c r="AI129" s="92">
        <f t="shared" si="332"/>
        <v>248638426.82991493</v>
      </c>
      <c r="AJ129" s="91">
        <f t="shared" ref="AJ129:AN129" si="410">SUM(AJ124:AJ128)</f>
        <v>170045480.32684785</v>
      </c>
      <c r="AK129" s="91">
        <f t="shared" si="410"/>
        <v>17040832.651625</v>
      </c>
      <c r="AL129" s="91">
        <f t="shared" si="410"/>
        <v>0</v>
      </c>
      <c r="AM129" s="91">
        <f t="shared" si="410"/>
        <v>0</v>
      </c>
      <c r="AN129" s="91">
        <f t="shared" si="410"/>
        <v>281345908.58843476</v>
      </c>
      <c r="AO129" s="92">
        <f t="shared" si="334"/>
        <v>468432221.56690764</v>
      </c>
      <c r="AP129" s="91">
        <f t="shared" ref="AP129:AT129" si="411">SUM(AP124:AP128)</f>
        <v>62075647.650901705</v>
      </c>
      <c r="AQ129" s="91">
        <f t="shared" si="411"/>
        <v>22761577.926625002</v>
      </c>
      <c r="AR129" s="91">
        <f t="shared" si="411"/>
        <v>0</v>
      </c>
      <c r="AS129" s="91">
        <f t="shared" si="411"/>
        <v>0</v>
      </c>
      <c r="AT129" s="91">
        <f t="shared" si="411"/>
        <v>424850201.15031314</v>
      </c>
      <c r="AU129" s="92">
        <f t="shared" si="336"/>
        <v>509687426.72783983</v>
      </c>
      <c r="AV129" s="91">
        <f t="shared" ref="AV129:AZ129" si="412">SUM(AV124:AV128)</f>
        <v>47642159.007278219</v>
      </c>
      <c r="AW129" s="91">
        <f t="shared" si="412"/>
        <v>7990453.4516249998</v>
      </c>
      <c r="AX129" s="91">
        <f t="shared" si="412"/>
        <v>0</v>
      </c>
      <c r="AY129" s="91">
        <f t="shared" si="412"/>
        <v>15000000</v>
      </c>
      <c r="AZ129" s="91">
        <f t="shared" si="412"/>
        <v>525245394.36961913</v>
      </c>
      <c r="BA129" s="92">
        <f t="shared" si="338"/>
        <v>595878006.82852232</v>
      </c>
      <c r="BB129" s="91">
        <f t="shared" ref="BB129:BF129" si="413">SUM(BB124:BB128)</f>
        <v>0</v>
      </c>
      <c r="BC129" s="91">
        <f t="shared" si="413"/>
        <v>147936853.45162499</v>
      </c>
      <c r="BD129" s="91">
        <f t="shared" si="413"/>
        <v>0</v>
      </c>
      <c r="BE129" s="91">
        <f t="shared" si="413"/>
        <v>15000000</v>
      </c>
      <c r="BF129" s="91">
        <f t="shared" si="413"/>
        <v>598064708.05778909</v>
      </c>
      <c r="BG129" s="92">
        <f t="shared" si="340"/>
        <v>761001561.50941408</v>
      </c>
      <c r="BH129" s="91">
        <f t="shared" ref="BH129:BL129" si="414">SUM(BH124:BH128)</f>
        <v>0</v>
      </c>
      <c r="BI129" s="91">
        <f t="shared" si="414"/>
        <v>16884627.82662499</v>
      </c>
      <c r="BJ129" s="91">
        <f t="shared" si="414"/>
        <v>0</v>
      </c>
      <c r="BK129" s="91">
        <f t="shared" si="414"/>
        <v>20000000</v>
      </c>
      <c r="BL129" s="91">
        <f t="shared" si="414"/>
        <v>739465551.14385712</v>
      </c>
      <c r="BM129" s="92">
        <f t="shared" si="342"/>
        <v>776350178.97048211</v>
      </c>
      <c r="BN129" s="91">
        <f t="shared" ref="BN129:BR129" si="415">SUM(BN124:BN128)</f>
        <v>0</v>
      </c>
      <c r="BO129" s="91">
        <f t="shared" si="415"/>
        <v>14061072.959999999</v>
      </c>
      <c r="BP129" s="91">
        <f t="shared" si="415"/>
        <v>0</v>
      </c>
      <c r="BQ129" s="91">
        <f t="shared" si="415"/>
        <v>30000000</v>
      </c>
      <c r="BR129" s="91">
        <f t="shared" si="415"/>
        <v>816059872.87708616</v>
      </c>
      <c r="BS129" s="92">
        <f t="shared" si="344"/>
        <v>860120945.8370862</v>
      </c>
      <c r="BT129" s="91">
        <f t="shared" ref="BT129:BX129" si="416">SUM(BT124:BT128)</f>
        <v>0</v>
      </c>
      <c r="BU129" s="91">
        <f t="shared" si="416"/>
        <v>19166952.449999999</v>
      </c>
      <c r="BV129" s="91">
        <f t="shared" si="416"/>
        <v>0</v>
      </c>
      <c r="BW129" s="91">
        <f t="shared" si="416"/>
        <v>30000000</v>
      </c>
      <c r="BX129" s="91">
        <f t="shared" si="416"/>
        <v>868926668.27104509</v>
      </c>
      <c r="BY129" s="92">
        <f t="shared" si="346"/>
        <v>918093620.72104514</v>
      </c>
      <c r="BZ129" s="91">
        <f t="shared" ref="BZ129:CD129" si="417">SUM(BZ124:BZ128)</f>
        <v>0</v>
      </c>
      <c r="CA129" s="91">
        <f t="shared" si="417"/>
        <v>4305900</v>
      </c>
      <c r="CB129" s="91">
        <f t="shared" si="417"/>
        <v>0</v>
      </c>
      <c r="CC129" s="91">
        <f t="shared" si="417"/>
        <v>30000000</v>
      </c>
      <c r="CD129" s="91">
        <f t="shared" si="417"/>
        <v>1909237817.3326638</v>
      </c>
      <c r="CE129" s="92">
        <f t="shared" si="348"/>
        <v>1943543717.3326638</v>
      </c>
      <c r="CF129" s="91">
        <f t="shared" ref="CF129:CJ129" si="418">SUM(CF124:CF128)</f>
        <v>0</v>
      </c>
      <c r="CG129" s="91">
        <f t="shared" si="418"/>
        <v>4495150</v>
      </c>
      <c r="CH129" s="91">
        <f t="shared" si="418"/>
        <v>0</v>
      </c>
      <c r="CI129" s="91">
        <f t="shared" si="418"/>
        <v>30000000</v>
      </c>
      <c r="CJ129" s="91">
        <f t="shared" si="418"/>
        <v>736566396.58395481</v>
      </c>
      <c r="CK129" s="92">
        <f t="shared" si="350"/>
        <v>771061546.58395481</v>
      </c>
      <c r="CL129" s="56">
        <f t="shared" si="146"/>
        <v>356143286.98502779</v>
      </c>
      <c r="CM129" s="56">
        <f t="shared" si="146"/>
        <v>282785664.05145836</v>
      </c>
      <c r="CN129" s="56">
        <f t="shared" si="146"/>
        <v>0</v>
      </c>
      <c r="CO129" s="56">
        <f t="shared" si="141"/>
        <v>185000000</v>
      </c>
      <c r="CP129" s="56">
        <f t="shared" si="141"/>
        <v>7151964823.5380106</v>
      </c>
      <c r="CQ129" s="56">
        <f t="shared" si="141"/>
        <v>7975893774.5744982</v>
      </c>
      <c r="CR129" s="37">
        <f t="shared" si="212"/>
        <v>0</v>
      </c>
      <c r="CS129" s="39">
        <f t="shared" si="241"/>
        <v>123086121.66666666</v>
      </c>
      <c r="CT129" s="53">
        <f t="shared" si="242"/>
        <v>248638426.82991493</v>
      </c>
      <c r="CU129" s="39">
        <f t="shared" si="243"/>
        <v>468432221.56690764</v>
      </c>
      <c r="CV129" s="39">
        <f t="shared" si="244"/>
        <v>509687426.72783983</v>
      </c>
      <c r="CW129" s="39">
        <f t="shared" si="245"/>
        <v>595878006.82852232</v>
      </c>
      <c r="CX129" s="39">
        <f t="shared" si="246"/>
        <v>761001561.50941408</v>
      </c>
      <c r="CY129" s="39">
        <f t="shared" si="247"/>
        <v>776350178.97048211</v>
      </c>
      <c r="CZ129" s="39">
        <f t="shared" si="248"/>
        <v>860120945.8370862</v>
      </c>
      <c r="DA129" s="39">
        <f t="shared" si="249"/>
        <v>918093620.72104514</v>
      </c>
      <c r="DB129" s="39">
        <f t="shared" si="250"/>
        <v>1943543717.3326638</v>
      </c>
      <c r="DC129" s="39">
        <f t="shared" si="251"/>
        <v>771061546.58395481</v>
      </c>
      <c r="DD129" s="39">
        <f>+HLOOKUP('Reporte Evolución Mensual'!$F$2-2,$CR$2:$DC$251, Input!$DG129, FALSE)</f>
        <v>0</v>
      </c>
      <c r="DE129" s="39">
        <f>+HLOOKUP('Reporte Evolución Mensual'!$F$2-1,$CR$2:$DC$251, Input!$DG129, FALSE)</f>
        <v>0</v>
      </c>
      <c r="DF129" s="39">
        <f>+HLOOKUP('Reporte Evolución Mensual'!$F$2,$CR$2:$DC$371, Input!$DG129, FALSE)</f>
        <v>0</v>
      </c>
      <c r="DG129" s="40">
        <f t="shared" si="297"/>
        <v>129</v>
      </c>
      <c r="DH129" s="39"/>
      <c r="DI129" s="37">
        <f t="shared" si="351"/>
        <v>0</v>
      </c>
      <c r="DJ129" s="37">
        <f t="shared" si="352"/>
        <v>123086121.66666666</v>
      </c>
      <c r="DK129" s="37">
        <f t="shared" si="352"/>
        <v>371724548.49658155</v>
      </c>
      <c r="DL129" s="37">
        <f t="shared" si="352"/>
        <v>840156770.0634892</v>
      </c>
      <c r="DM129" s="37">
        <f t="shared" si="352"/>
        <v>1349844196.7913289</v>
      </c>
      <c r="DN129" s="37">
        <f t="shared" si="352"/>
        <v>1945722203.6198511</v>
      </c>
      <c r="DO129" s="37">
        <f t="shared" si="352"/>
        <v>2706723765.1292653</v>
      </c>
      <c r="DP129" s="37">
        <f t="shared" si="352"/>
        <v>3483073944.0997477</v>
      </c>
      <c r="DQ129" s="37">
        <f t="shared" si="352"/>
        <v>4343194889.9368343</v>
      </c>
      <c r="DR129" s="37">
        <f t="shared" si="352"/>
        <v>5261288510.6578798</v>
      </c>
      <c r="DS129" s="37">
        <f t="shared" si="352"/>
        <v>7204832227.9905434</v>
      </c>
      <c r="DT129" s="37">
        <f t="shared" si="352"/>
        <v>7975893774.5744982</v>
      </c>
      <c r="DU129" s="1"/>
      <c r="DV129" s="345"/>
    </row>
    <row r="130" spans="1:126" ht="15" customHeight="1" x14ac:dyDescent="0.3">
      <c r="A130" s="1" t="str">
        <f t="shared" si="137"/>
        <v>ADIFSE</v>
      </c>
      <c r="B130" s="1" t="str">
        <f t="shared" si="138"/>
        <v>ADIFSE</v>
      </c>
      <c r="C130" s="1" t="str">
        <f t="shared" si="139"/>
        <v>MAY</v>
      </c>
      <c r="D130" s="41" t="s">
        <v>108</v>
      </c>
      <c r="E130" s="54" t="s">
        <v>333</v>
      </c>
      <c r="F130" s="43"/>
      <c r="G130" s="32"/>
      <c r="H130" s="32"/>
      <c r="I130" s="32"/>
      <c r="J130" s="32"/>
      <c r="K130" s="48"/>
      <c r="L130" s="91"/>
      <c r="M130" s="91"/>
      <c r="N130" s="91"/>
      <c r="O130" s="91"/>
      <c r="P130" s="91"/>
      <c r="Q130" s="93"/>
      <c r="R130" s="91"/>
      <c r="S130" s="91"/>
      <c r="T130" s="91"/>
      <c r="U130" s="91"/>
      <c r="V130" s="91"/>
      <c r="W130" s="92"/>
      <c r="X130" s="91"/>
      <c r="Y130" s="91"/>
      <c r="Z130" s="91"/>
      <c r="AA130" s="91"/>
      <c r="AB130" s="91"/>
      <c r="AC130" s="92"/>
      <c r="AD130" s="91"/>
      <c r="AE130" s="91"/>
      <c r="AF130" s="91"/>
      <c r="AG130" s="91"/>
      <c r="AH130" s="91"/>
      <c r="AI130" s="92"/>
      <c r="AJ130" s="91"/>
      <c r="AK130" s="91"/>
      <c r="AL130" s="91"/>
      <c r="AM130" s="91"/>
      <c r="AN130" s="91"/>
      <c r="AO130" s="92"/>
      <c r="AP130" s="91"/>
      <c r="AQ130" s="91"/>
      <c r="AR130" s="91"/>
      <c r="AS130" s="91"/>
      <c r="AT130" s="91"/>
      <c r="AU130" s="92"/>
      <c r="AV130" s="91"/>
      <c r="AW130" s="91"/>
      <c r="AX130" s="91"/>
      <c r="AY130" s="91"/>
      <c r="AZ130" s="91"/>
      <c r="BA130" s="92"/>
      <c r="BB130" s="91"/>
      <c r="BC130" s="91"/>
      <c r="BD130" s="91"/>
      <c r="BE130" s="91"/>
      <c r="BF130" s="91"/>
      <c r="BG130" s="92"/>
      <c r="BH130" s="91"/>
      <c r="BI130" s="91"/>
      <c r="BJ130" s="91"/>
      <c r="BK130" s="91"/>
      <c r="BL130" s="91"/>
      <c r="BM130" s="92"/>
      <c r="BN130" s="91"/>
      <c r="BO130" s="91"/>
      <c r="BP130" s="91"/>
      <c r="BQ130" s="91"/>
      <c r="BR130" s="91"/>
      <c r="BS130" s="92"/>
      <c r="BT130" s="91"/>
      <c r="BU130" s="91"/>
      <c r="BV130" s="91"/>
      <c r="BW130" s="91"/>
      <c r="BX130" s="91"/>
      <c r="BY130" s="92"/>
      <c r="BZ130" s="91"/>
      <c r="CA130" s="91"/>
      <c r="CB130" s="91"/>
      <c r="CC130" s="91"/>
      <c r="CD130" s="91"/>
      <c r="CE130" s="92"/>
      <c r="CF130" s="91"/>
      <c r="CG130" s="91"/>
      <c r="CH130" s="91"/>
      <c r="CI130" s="91"/>
      <c r="CJ130" s="91"/>
      <c r="CK130" s="86"/>
      <c r="CL130" s="56"/>
      <c r="CM130" s="56"/>
      <c r="CN130" s="56"/>
      <c r="CO130" s="56"/>
      <c r="CP130" s="56"/>
      <c r="CQ130" s="56"/>
      <c r="CR130" s="37"/>
      <c r="CS130" s="46"/>
      <c r="CT130" s="46"/>
      <c r="CU130" s="46"/>
      <c r="CV130" s="46"/>
      <c r="CW130" s="46"/>
      <c r="CX130" s="46"/>
      <c r="CY130" s="46"/>
      <c r="CZ130" s="46"/>
      <c r="DA130" s="46"/>
      <c r="DB130" s="46"/>
      <c r="DC130" s="48"/>
      <c r="DD130" s="39">
        <f>+HLOOKUP('Reporte Evolución Mensual'!$F$2-2,$CR$2:$DC$251, Input!$DG130, FALSE)</f>
        <v>0</v>
      </c>
      <c r="DE130" s="39">
        <f>+HLOOKUP('Reporte Evolución Mensual'!$F$2-1,$CR$2:$DC$251, Input!$DG130, FALSE)</f>
        <v>0</v>
      </c>
      <c r="DF130" s="39">
        <f>+HLOOKUP('Reporte Evolución Mensual'!$F$2,$CR$2:$DC$251, Input!$DG130, FALSE)</f>
        <v>0</v>
      </c>
      <c r="DG130" s="40">
        <v>130</v>
      </c>
      <c r="DH130" s="39"/>
      <c r="DI130" s="39"/>
      <c r="DJ130" s="39"/>
      <c r="DK130" s="39"/>
      <c r="DL130" s="39"/>
      <c r="DM130" s="39"/>
      <c r="DN130" s="39"/>
      <c r="DO130" s="58"/>
      <c r="DP130" s="58"/>
      <c r="DQ130" s="58"/>
      <c r="DR130" s="58"/>
      <c r="DS130" s="41"/>
      <c r="DT130" s="41"/>
      <c r="DU130" s="41"/>
    </row>
    <row r="131" spans="1:126" ht="15" customHeight="1" x14ac:dyDescent="0.3">
      <c r="A131" s="1" t="str">
        <f t="shared" si="137"/>
        <v>ADIFSE</v>
      </c>
      <c r="B131" s="1" t="str">
        <f t="shared" si="138"/>
        <v>ADIFSE</v>
      </c>
      <c r="C131" s="1" t="str">
        <f t="shared" si="139"/>
        <v>MAY</v>
      </c>
      <c r="D131" s="41" t="s">
        <v>108</v>
      </c>
      <c r="E131" s="94" t="s">
        <v>333</v>
      </c>
      <c r="F131" s="95"/>
      <c r="G131" s="96"/>
      <c r="H131" s="96"/>
      <c r="I131" s="96"/>
      <c r="J131" s="96"/>
      <c r="K131" s="97"/>
      <c r="L131" s="98"/>
      <c r="M131" s="91"/>
      <c r="N131" s="91"/>
      <c r="O131" s="91"/>
      <c r="P131" s="91"/>
      <c r="Q131" s="93"/>
      <c r="R131" s="91"/>
      <c r="S131" s="91"/>
      <c r="T131" s="91"/>
      <c r="U131" s="91"/>
      <c r="V131" s="91"/>
      <c r="W131" s="92"/>
      <c r="X131" s="91"/>
      <c r="Y131" s="91"/>
      <c r="Z131" s="91"/>
      <c r="AA131" s="91"/>
      <c r="AB131" s="91"/>
      <c r="AC131" s="92"/>
      <c r="AD131" s="91"/>
      <c r="AE131" s="91"/>
      <c r="AF131" s="91"/>
      <c r="AG131" s="91"/>
      <c r="AH131" s="91"/>
      <c r="AI131" s="92"/>
      <c r="AJ131" s="91"/>
      <c r="AK131" s="91"/>
      <c r="AL131" s="91"/>
      <c r="AM131" s="91"/>
      <c r="AN131" s="91"/>
      <c r="AO131" s="92"/>
      <c r="AP131" s="91"/>
      <c r="AQ131" s="91"/>
      <c r="AR131" s="91"/>
      <c r="AS131" s="91"/>
      <c r="AT131" s="91"/>
      <c r="AU131" s="92"/>
      <c r="AV131" s="91"/>
      <c r="AW131" s="91"/>
      <c r="AX131" s="91"/>
      <c r="AY131" s="91"/>
      <c r="AZ131" s="91"/>
      <c r="BA131" s="92"/>
      <c r="BB131" s="91"/>
      <c r="BC131" s="91"/>
      <c r="BD131" s="91"/>
      <c r="BE131" s="91"/>
      <c r="BF131" s="91"/>
      <c r="BG131" s="92"/>
      <c r="BH131" s="91"/>
      <c r="BI131" s="91"/>
      <c r="BJ131" s="91"/>
      <c r="BK131" s="91"/>
      <c r="BL131" s="91"/>
      <c r="BM131" s="92"/>
      <c r="BN131" s="91"/>
      <c r="BO131" s="91"/>
      <c r="BP131" s="91"/>
      <c r="BQ131" s="91"/>
      <c r="BR131" s="91"/>
      <c r="BS131" s="92"/>
      <c r="BT131" s="91"/>
      <c r="BU131" s="91"/>
      <c r="BV131" s="91"/>
      <c r="BW131" s="91"/>
      <c r="BX131" s="91"/>
      <c r="BY131" s="92"/>
      <c r="BZ131" s="91"/>
      <c r="CA131" s="91"/>
      <c r="CB131" s="91"/>
      <c r="CC131" s="91"/>
      <c r="CD131" s="91"/>
      <c r="CE131" s="92"/>
      <c r="CF131" s="91"/>
      <c r="CG131" s="91"/>
      <c r="CH131" s="91"/>
      <c r="CI131" s="91"/>
      <c r="CJ131" s="91"/>
      <c r="CK131" s="86"/>
      <c r="CL131" s="56"/>
      <c r="CM131" s="56"/>
      <c r="CN131" s="56"/>
      <c r="CO131" s="56"/>
      <c r="CP131" s="56"/>
      <c r="CQ131" s="56"/>
      <c r="CR131" s="37"/>
      <c r="CS131" s="46"/>
      <c r="CT131" s="46"/>
      <c r="CU131" s="46"/>
      <c r="CV131" s="46"/>
      <c r="CW131" s="46"/>
      <c r="CX131" s="46"/>
      <c r="CY131" s="46"/>
      <c r="CZ131" s="46"/>
      <c r="DA131" s="46"/>
      <c r="DB131" s="46"/>
      <c r="DC131" s="48"/>
      <c r="DD131" s="39">
        <f>+HLOOKUP('Reporte Evolución Mensual'!$F$2-2,$CR$2:$DC$251, Input!$DG131, FALSE)</f>
        <v>0</v>
      </c>
      <c r="DE131" s="39">
        <f>+HLOOKUP('Reporte Evolución Mensual'!$F$2-1,$CR$2:$DC$251, Input!$DG131, FALSE)</f>
        <v>0</v>
      </c>
      <c r="DF131" s="39">
        <f>+HLOOKUP('Reporte Evolución Mensual'!$F$2,$CR$2:$DC$251, Input!$DG131, FALSE)</f>
        <v>0</v>
      </c>
      <c r="DG131" s="40">
        <v>131</v>
      </c>
      <c r="DH131" s="39"/>
      <c r="DI131" s="39"/>
      <c r="DJ131" s="39"/>
      <c r="DK131" s="39"/>
      <c r="DL131" s="39"/>
      <c r="DM131" s="39"/>
      <c r="DN131" s="39"/>
      <c r="DO131" s="58"/>
      <c r="DP131" s="58"/>
      <c r="DQ131" s="58"/>
      <c r="DR131" s="58"/>
      <c r="DS131" s="41"/>
      <c r="DT131" s="41"/>
      <c r="DU131" s="41"/>
    </row>
    <row r="132" spans="1:126" ht="15" customHeight="1" x14ac:dyDescent="0.3">
      <c r="A132" s="1" t="str">
        <f t="shared" ref="A132:A195" si="419">$F$8</f>
        <v>ADIFSE</v>
      </c>
      <c r="B132" s="1" t="str">
        <f t="shared" ref="B132:B195" si="420">$F$9</f>
        <v>ADIFSE</v>
      </c>
      <c r="C132" s="1" t="str">
        <f t="shared" ref="C132:C195" si="421">$F$7</f>
        <v>MAY</v>
      </c>
      <c r="D132" s="99" t="s">
        <v>108</v>
      </c>
      <c r="E132" s="100" t="s">
        <v>286</v>
      </c>
      <c r="F132" s="101"/>
      <c r="G132" s="102"/>
      <c r="H132" s="102"/>
      <c r="I132" s="102"/>
      <c r="J132" s="102"/>
      <c r="K132" s="103"/>
      <c r="L132" s="104" t="s">
        <v>287</v>
      </c>
      <c r="M132" s="105"/>
      <c r="N132" s="105"/>
      <c r="O132" s="105"/>
      <c r="P132" s="105"/>
      <c r="Q132" s="106"/>
      <c r="R132" s="107" t="s">
        <v>288</v>
      </c>
      <c r="S132" s="105"/>
      <c r="T132" s="105"/>
      <c r="U132" s="105"/>
      <c r="V132" s="105"/>
      <c r="W132" s="108"/>
      <c r="X132" s="105"/>
      <c r="Y132" s="105"/>
      <c r="Z132" s="105"/>
      <c r="AA132" s="105"/>
      <c r="AB132" s="105"/>
      <c r="AC132" s="108"/>
      <c r="AD132" s="105"/>
      <c r="AE132" s="105"/>
      <c r="AF132" s="105"/>
      <c r="AG132" s="105"/>
      <c r="AH132" s="105"/>
      <c r="AI132" s="108"/>
      <c r="AJ132" s="105"/>
      <c r="AK132" s="105"/>
      <c r="AL132" s="105"/>
      <c r="AM132" s="105"/>
      <c r="AN132" s="105"/>
      <c r="AO132" s="108"/>
      <c r="AP132" s="105"/>
      <c r="AQ132" s="105"/>
      <c r="AR132" s="105"/>
      <c r="AS132" s="105"/>
      <c r="AT132" s="105"/>
      <c r="AU132" s="108"/>
      <c r="AV132" s="105"/>
      <c r="AW132" s="105"/>
      <c r="AX132" s="105"/>
      <c r="AY132" s="105"/>
      <c r="AZ132" s="105"/>
      <c r="BA132" s="108"/>
      <c r="BB132" s="105"/>
      <c r="BC132" s="105"/>
      <c r="BD132" s="105"/>
      <c r="BE132" s="105"/>
      <c r="BF132" s="105"/>
      <c r="BG132" s="108"/>
      <c r="BH132" s="105"/>
      <c r="BI132" s="105"/>
      <c r="BJ132" s="105"/>
      <c r="BK132" s="105"/>
      <c r="BL132" s="105"/>
      <c r="BM132" s="108"/>
      <c r="BN132" s="105"/>
      <c r="BO132" s="105"/>
      <c r="BP132" s="105"/>
      <c r="BQ132" s="105"/>
      <c r="BR132" s="105"/>
      <c r="BS132" s="108"/>
      <c r="BT132" s="105"/>
      <c r="BU132" s="105"/>
      <c r="BV132" s="105"/>
      <c r="BW132" s="105"/>
      <c r="BX132" s="105"/>
      <c r="BY132" s="108"/>
      <c r="BZ132" s="105"/>
      <c r="CA132" s="105"/>
      <c r="CB132" s="105"/>
      <c r="CC132" s="105"/>
      <c r="CD132" s="105"/>
      <c r="CE132" s="108"/>
      <c r="CF132" s="105"/>
      <c r="CG132" s="105"/>
      <c r="CH132" s="105"/>
      <c r="CI132" s="105"/>
      <c r="CJ132" s="105"/>
      <c r="CK132" s="108"/>
      <c r="CL132" s="109"/>
      <c r="CM132" s="110"/>
      <c r="CN132" s="110"/>
      <c r="CO132" s="110"/>
      <c r="CP132" s="110"/>
      <c r="CQ132" s="106"/>
      <c r="CR132" s="111"/>
      <c r="CS132" s="111"/>
      <c r="CT132" s="111"/>
      <c r="CU132" s="111"/>
      <c r="CV132" s="111"/>
      <c r="CW132" s="111"/>
      <c r="CX132" s="111"/>
      <c r="CY132" s="111"/>
      <c r="CZ132" s="111"/>
      <c r="DA132" s="111"/>
      <c r="DB132" s="111"/>
      <c r="DC132" s="112"/>
      <c r="DD132" s="39">
        <f>+HLOOKUP('Reporte Evolución Mensual'!$F$2-2,$CR$2:$DC$251, Input!$DG132, FALSE)</f>
        <v>0</v>
      </c>
      <c r="DE132" s="39">
        <f>+HLOOKUP('Reporte Evolución Mensual'!$F$2-1,$CR$2:$DC$251, Input!$DG132, FALSE)</f>
        <v>0</v>
      </c>
      <c r="DF132" s="39">
        <f>+HLOOKUP('Reporte Evolución Mensual'!$F$2,$CR$2:$DC$251, Input!$DG132, FALSE)</f>
        <v>0</v>
      </c>
      <c r="DG132" s="40">
        <f t="shared" ref="DG132:DG145" si="422">+DG131+1</f>
        <v>132</v>
      </c>
      <c r="DH132" s="37"/>
      <c r="DI132" s="37"/>
      <c r="DJ132" s="37"/>
      <c r="DK132" s="37"/>
      <c r="DL132" s="37"/>
      <c r="DM132" s="37"/>
      <c r="DN132" s="37"/>
      <c r="DO132" s="63"/>
      <c r="DP132" s="63"/>
      <c r="DQ132" s="63"/>
      <c r="DR132" s="63"/>
      <c r="DS132" s="99"/>
      <c r="DT132" s="99"/>
      <c r="DU132" s="99"/>
    </row>
    <row r="133" spans="1:126" ht="15" customHeight="1" x14ac:dyDescent="0.3">
      <c r="A133" s="1" t="str">
        <f t="shared" si="419"/>
        <v>ADIFSE</v>
      </c>
      <c r="B133" s="1" t="str">
        <f t="shared" si="420"/>
        <v>ADIFSE</v>
      </c>
      <c r="C133" s="1" t="str">
        <f t="shared" si="421"/>
        <v>MAY</v>
      </c>
      <c r="D133" s="1" t="s">
        <v>163</v>
      </c>
      <c r="E133" s="113" t="s">
        <v>161</v>
      </c>
      <c r="F133" s="114"/>
      <c r="G133" s="1"/>
      <c r="H133" s="32"/>
      <c r="I133" s="32"/>
      <c r="J133" s="32"/>
      <c r="K133" s="38"/>
      <c r="L133" s="34"/>
      <c r="M133" s="34"/>
      <c r="N133" s="34"/>
      <c r="O133" s="34"/>
      <c r="P133" s="34"/>
      <c r="Q133" s="35"/>
      <c r="R133" s="33"/>
      <c r="S133" s="33"/>
      <c r="T133" s="33"/>
      <c r="U133" s="33"/>
      <c r="V133" s="33"/>
      <c r="W133" s="36">
        <f>SUM(R133:V133)</f>
        <v>0</v>
      </c>
      <c r="X133" s="34"/>
      <c r="Y133" s="34"/>
      <c r="Z133" s="34"/>
      <c r="AA133" s="34"/>
      <c r="AB133" s="34"/>
      <c r="AC133" s="36"/>
      <c r="AD133" s="34"/>
      <c r="AE133" s="34"/>
      <c r="AF133" s="34"/>
      <c r="AG133" s="34"/>
      <c r="AH133" s="34"/>
      <c r="AI133" s="36"/>
      <c r="AJ133" s="34"/>
      <c r="AK133" s="34"/>
      <c r="AL133" s="34"/>
      <c r="AM133" s="34"/>
      <c r="AN133" s="34"/>
      <c r="AO133" s="36"/>
      <c r="AP133" s="34"/>
      <c r="AQ133" s="34"/>
      <c r="AR133" s="34"/>
      <c r="AS133" s="34"/>
      <c r="AT133" s="34"/>
      <c r="AU133" s="36"/>
      <c r="AV133" s="34"/>
      <c r="AW133" s="34"/>
      <c r="AX133" s="34"/>
      <c r="AY133" s="34"/>
      <c r="AZ133" s="34"/>
      <c r="BA133" s="36"/>
      <c r="BB133" s="34"/>
      <c r="BC133" s="34"/>
      <c r="BD133" s="34"/>
      <c r="BE133" s="34"/>
      <c r="BF133" s="34"/>
      <c r="BG133" s="36"/>
      <c r="BH133" s="34"/>
      <c r="BI133" s="34"/>
      <c r="BJ133" s="34"/>
      <c r="BK133" s="34"/>
      <c r="BL133" s="34"/>
      <c r="BM133" s="36"/>
      <c r="BN133" s="34"/>
      <c r="BO133" s="34"/>
      <c r="BP133" s="34"/>
      <c r="BQ133" s="34"/>
      <c r="BR133" s="34"/>
      <c r="BS133" s="36"/>
      <c r="BT133" s="34"/>
      <c r="BU133" s="34"/>
      <c r="BV133" s="34"/>
      <c r="BW133" s="34"/>
      <c r="BX133" s="34"/>
      <c r="BY133" s="36"/>
      <c r="BZ133" s="34"/>
      <c r="CA133" s="34"/>
      <c r="CB133" s="34"/>
      <c r="CC133" s="34"/>
      <c r="CD133" s="34"/>
      <c r="CE133" s="36"/>
      <c r="CF133" s="34"/>
      <c r="CG133" s="34"/>
      <c r="CH133" s="34"/>
      <c r="CI133" s="34"/>
      <c r="CJ133" s="34"/>
      <c r="CK133" s="36"/>
      <c r="CL133" s="35">
        <f t="shared" ref="CL133:CQ133" si="423">+R133+X133+AD133+AJ133+AP133+AV133+BB133+BH133+BN133+BT133+BZ133+CF133</f>
        <v>0</v>
      </c>
      <c r="CM133" s="35">
        <f t="shared" si="423"/>
        <v>0</v>
      </c>
      <c r="CN133" s="35">
        <f t="shared" si="423"/>
        <v>0</v>
      </c>
      <c r="CO133" s="35">
        <f t="shared" si="423"/>
        <v>0</v>
      </c>
      <c r="CP133" s="35">
        <f t="shared" si="423"/>
        <v>0</v>
      </c>
      <c r="CQ133" s="35">
        <f t="shared" si="423"/>
        <v>0</v>
      </c>
      <c r="CR133" s="37">
        <f>+W133</f>
        <v>0</v>
      </c>
      <c r="CS133" s="37"/>
      <c r="CT133" s="38"/>
      <c r="CU133" s="37"/>
      <c r="CV133" s="37"/>
      <c r="CW133" s="37"/>
      <c r="CX133" s="37"/>
      <c r="CY133" s="37"/>
      <c r="CZ133" s="37"/>
      <c r="DA133" s="37"/>
      <c r="DB133" s="37"/>
      <c r="DC133" s="37"/>
      <c r="DD133" s="39">
        <f>+HLOOKUP('Reporte Evolución Mensual'!$F$2-2,$CR$2:$DC$251, Input!$DG133, FALSE)</f>
        <v>0</v>
      </c>
      <c r="DE133" s="39">
        <f>+HLOOKUP('Reporte Evolución Mensual'!$F$2-1,$CR$2:$DC$251, Input!$DG133, FALSE)</f>
        <v>0</v>
      </c>
      <c r="DF133" s="39">
        <f>+HLOOKUP('Reporte Evolución Mensual'!$F$2,$CR$2:$DC$251, Input!$DG133, FALSE)</f>
        <v>0</v>
      </c>
      <c r="DG133" s="40">
        <f t="shared" si="422"/>
        <v>133</v>
      </c>
      <c r="DH133" s="37"/>
      <c r="DI133" s="37"/>
      <c r="DJ133" s="37"/>
      <c r="DK133" s="37"/>
      <c r="DL133" s="37"/>
      <c r="DM133" s="37"/>
      <c r="DN133" s="37"/>
      <c r="DO133" s="63"/>
      <c r="DP133" s="63"/>
      <c r="DQ133" s="63"/>
      <c r="DR133" s="63"/>
      <c r="DS133" s="16"/>
      <c r="DT133" s="16"/>
      <c r="DU133" s="16"/>
      <c r="DV133" s="346"/>
    </row>
    <row r="134" spans="1:126" ht="15" customHeight="1" x14ac:dyDescent="0.3">
      <c r="A134" s="1" t="str">
        <f t="shared" si="419"/>
        <v>ADIFSE</v>
      </c>
      <c r="B134" s="1" t="str">
        <f t="shared" si="420"/>
        <v>ADIFSE</v>
      </c>
      <c r="C134" s="1" t="str">
        <f t="shared" si="421"/>
        <v>MAY</v>
      </c>
      <c r="D134" s="41" t="s">
        <v>108</v>
      </c>
      <c r="E134" s="115" t="s">
        <v>162</v>
      </c>
      <c r="F134" s="116"/>
      <c r="G134" s="41"/>
      <c r="H134" s="44"/>
      <c r="I134" s="44"/>
      <c r="J134" s="44"/>
      <c r="K134" s="46"/>
      <c r="L134" s="46"/>
      <c r="M134" s="46"/>
      <c r="N134" s="46"/>
      <c r="O134" s="46"/>
      <c r="P134" s="46"/>
      <c r="Q134" s="47"/>
      <c r="R134" s="46"/>
      <c r="S134" s="46"/>
      <c r="T134" s="46"/>
      <c r="U134" s="46"/>
      <c r="V134" s="46"/>
      <c r="W134" s="48"/>
      <c r="X134" s="46"/>
      <c r="Y134" s="46"/>
      <c r="Z134" s="46"/>
      <c r="AA134" s="46"/>
      <c r="AB134" s="46"/>
      <c r="AC134" s="48"/>
      <c r="AD134" s="46"/>
      <c r="AE134" s="46"/>
      <c r="AF134" s="46"/>
      <c r="AG134" s="46"/>
      <c r="AH134" s="46"/>
      <c r="AI134" s="48"/>
      <c r="AJ134" s="46"/>
      <c r="AK134" s="46"/>
      <c r="AL134" s="46"/>
      <c r="AM134" s="46"/>
      <c r="AN134" s="46"/>
      <c r="AO134" s="48"/>
      <c r="AP134" s="46"/>
      <c r="AQ134" s="46"/>
      <c r="AR134" s="46"/>
      <c r="AS134" s="46"/>
      <c r="AT134" s="46"/>
      <c r="AU134" s="48"/>
      <c r="AV134" s="46"/>
      <c r="AW134" s="46"/>
      <c r="AX134" s="46"/>
      <c r="AY134" s="46"/>
      <c r="AZ134" s="46"/>
      <c r="BA134" s="48"/>
      <c r="BB134" s="46"/>
      <c r="BC134" s="46"/>
      <c r="BD134" s="46"/>
      <c r="BE134" s="46"/>
      <c r="BF134" s="46"/>
      <c r="BG134" s="48"/>
      <c r="BH134" s="46"/>
      <c r="BI134" s="46"/>
      <c r="BJ134" s="46"/>
      <c r="BK134" s="46"/>
      <c r="BL134" s="46"/>
      <c r="BM134" s="48"/>
      <c r="BN134" s="46"/>
      <c r="BO134" s="46"/>
      <c r="BP134" s="46"/>
      <c r="BQ134" s="46"/>
      <c r="BR134" s="46"/>
      <c r="BS134" s="48"/>
      <c r="BT134" s="46"/>
      <c r="BU134" s="46"/>
      <c r="BV134" s="46"/>
      <c r="BW134" s="46"/>
      <c r="BX134" s="46"/>
      <c r="BY134" s="48"/>
      <c r="BZ134" s="46"/>
      <c r="CA134" s="46"/>
      <c r="CB134" s="46"/>
      <c r="CC134" s="46"/>
      <c r="CD134" s="46"/>
      <c r="CE134" s="48"/>
      <c r="CF134" s="46"/>
      <c r="CG134" s="46"/>
      <c r="CH134" s="46"/>
      <c r="CI134" s="46"/>
      <c r="CJ134" s="46"/>
      <c r="CK134" s="48"/>
      <c r="CL134" s="47"/>
      <c r="CM134" s="47"/>
      <c r="CN134" s="47"/>
      <c r="CO134" s="47"/>
      <c r="CP134" s="47"/>
      <c r="CQ134" s="47"/>
      <c r="CR134" s="46"/>
      <c r="CS134" s="46"/>
      <c r="CT134" s="46"/>
      <c r="CU134" s="46"/>
      <c r="CV134" s="46"/>
      <c r="CW134" s="46"/>
      <c r="CX134" s="46"/>
      <c r="CY134" s="46"/>
      <c r="CZ134" s="46"/>
      <c r="DA134" s="46"/>
      <c r="DB134" s="46"/>
      <c r="DC134" s="48"/>
      <c r="DD134" s="39">
        <f>+HLOOKUP('Reporte Evolución Mensual'!$F$2-2,$CR$2:$DC$251, Input!$DG134, FALSE)</f>
        <v>3208280.6399999997</v>
      </c>
      <c r="DE134" s="39">
        <f>+HLOOKUP('Reporte Evolución Mensual'!$F$2-1,$CR$2:$DC$251, Input!$DG134, FALSE)</f>
        <v>2156450.3699999992</v>
      </c>
      <c r="DF134" s="39">
        <f>+HLOOKUP('Reporte Evolución Mensual'!$F$2,$CR$2:$DC$251, Input!$DG134, FALSE)</f>
        <v>13390472.359999998</v>
      </c>
      <c r="DG134" s="40">
        <f t="shared" si="422"/>
        <v>134</v>
      </c>
      <c r="DH134" s="48"/>
      <c r="DI134" s="50"/>
      <c r="DJ134" s="50"/>
      <c r="DK134" s="50"/>
      <c r="DL134" s="50"/>
      <c r="DM134" s="50"/>
      <c r="DN134" s="50"/>
      <c r="DO134" s="41"/>
      <c r="DP134" s="41"/>
      <c r="DQ134" s="41"/>
      <c r="DR134" s="41"/>
      <c r="DS134" s="41"/>
      <c r="DT134" s="41"/>
      <c r="DU134" s="41"/>
      <c r="DV134" s="345" t="s">
        <v>163</v>
      </c>
    </row>
    <row r="135" spans="1:126" ht="15" customHeight="1" x14ac:dyDescent="0.3">
      <c r="A135" s="1" t="str">
        <f t="shared" si="419"/>
        <v>ADIFSE</v>
      </c>
      <c r="B135" s="1" t="str">
        <f t="shared" si="420"/>
        <v>ADIFSE</v>
      </c>
      <c r="C135" s="1" t="str">
        <f t="shared" si="421"/>
        <v>MAY</v>
      </c>
      <c r="D135" s="1" t="s">
        <v>163</v>
      </c>
      <c r="E135" s="113" t="str">
        <f>H135</f>
        <v>Ingresos por Servicios</v>
      </c>
      <c r="F135" s="114" t="s">
        <v>164</v>
      </c>
      <c r="G135" s="1" t="s">
        <v>162</v>
      </c>
      <c r="H135" s="32" t="s">
        <v>165</v>
      </c>
      <c r="I135" s="32" t="s">
        <v>165</v>
      </c>
      <c r="J135" s="32" t="s">
        <v>289</v>
      </c>
      <c r="K135" s="38"/>
      <c r="L135" s="51"/>
      <c r="M135" s="51"/>
      <c r="N135" s="51"/>
      <c r="O135" s="51"/>
      <c r="P135" s="51"/>
      <c r="Q135" s="35">
        <f>SUM(L135:P135)</f>
        <v>0</v>
      </c>
      <c r="R135" s="34"/>
      <c r="S135" s="33">
        <v>2611124.3699999996</v>
      </c>
      <c r="T135" s="33"/>
      <c r="U135" s="34"/>
      <c r="V135" s="34"/>
      <c r="W135" s="52">
        <f>SUM(R135:V135)</f>
        <v>2611124.3699999996</v>
      </c>
      <c r="X135" s="34"/>
      <c r="Y135" s="449">
        <v>1613121.6500000004</v>
      </c>
      <c r="Z135" s="33"/>
      <c r="AA135" s="34"/>
      <c r="AB135" s="34"/>
      <c r="AC135" s="52">
        <f>SUM(X135:AB135)</f>
        <v>1613121.6500000004</v>
      </c>
      <c r="AD135" s="34"/>
      <c r="AE135" s="33">
        <v>3208280.6399999997</v>
      </c>
      <c r="AF135" s="33"/>
      <c r="AG135" s="34"/>
      <c r="AH135" s="34"/>
      <c r="AI135" s="52">
        <f>SUM(AD135:AH135)</f>
        <v>3208280.6399999997</v>
      </c>
      <c r="AJ135" s="34"/>
      <c r="AK135" s="33">
        <v>2156450.3699999992</v>
      </c>
      <c r="AL135" s="33"/>
      <c r="AM135" s="34"/>
      <c r="AN135" s="34"/>
      <c r="AO135" s="52">
        <f>SUM(AJ135:AN135)</f>
        <v>2156450.3699999992</v>
      </c>
      <c r="AP135" s="34"/>
      <c r="AQ135" s="33">
        <v>13390472.359999998</v>
      </c>
      <c r="AR135" s="33"/>
      <c r="AS135" s="34"/>
      <c r="AT135" s="34"/>
      <c r="AU135" s="52">
        <f>SUM(AP135:AT135)</f>
        <v>13390472.359999998</v>
      </c>
      <c r="AV135" s="34"/>
      <c r="AW135" s="33"/>
      <c r="AX135" s="33"/>
      <c r="AY135" s="34"/>
      <c r="AZ135" s="34"/>
      <c r="BA135" s="52">
        <f>SUM(AV135:AZ135)</f>
        <v>0</v>
      </c>
      <c r="BB135" s="34"/>
      <c r="BC135" s="33"/>
      <c r="BD135" s="33"/>
      <c r="BE135" s="34"/>
      <c r="BF135" s="34"/>
      <c r="BG135" s="52">
        <f>SUM(BB135:BF135)</f>
        <v>0</v>
      </c>
      <c r="BH135" s="34"/>
      <c r="BI135" s="33"/>
      <c r="BJ135" s="33"/>
      <c r="BK135" s="34"/>
      <c r="BL135" s="34"/>
      <c r="BM135" s="52">
        <f>SUM(BH135:BL135)</f>
        <v>0</v>
      </c>
      <c r="BN135" s="34"/>
      <c r="BO135" s="33"/>
      <c r="BP135" s="33"/>
      <c r="BQ135" s="34"/>
      <c r="BR135" s="34"/>
      <c r="BS135" s="52">
        <f>SUM(BN135:BR135)</f>
        <v>0</v>
      </c>
      <c r="BT135" s="34"/>
      <c r="BU135" s="33"/>
      <c r="BV135" s="33"/>
      <c r="BW135" s="34"/>
      <c r="BX135" s="34"/>
      <c r="BY135" s="52">
        <f>SUM(BT135:BX135)</f>
        <v>0</v>
      </c>
      <c r="BZ135" s="34"/>
      <c r="CA135" s="33"/>
      <c r="CB135" s="33"/>
      <c r="CC135" s="34"/>
      <c r="CD135" s="34"/>
      <c r="CE135" s="52">
        <f>SUM(BZ135:CD135)</f>
        <v>0</v>
      </c>
      <c r="CF135" s="34"/>
      <c r="CG135" s="33"/>
      <c r="CH135" s="33"/>
      <c r="CI135" s="34"/>
      <c r="CJ135" s="34"/>
      <c r="CK135" s="52">
        <f>SUM(CF135:CJ135)</f>
        <v>0</v>
      </c>
      <c r="CL135" s="35">
        <f t="shared" ref="CL135:CQ140" si="424">+R135+X135+AD135+AJ135+AP135+AV135+BB135+BH135+BN135+BT135+BZ135+CF135</f>
        <v>0</v>
      </c>
      <c r="CM135" s="35">
        <f t="shared" si="424"/>
        <v>22979449.389999993</v>
      </c>
      <c r="CN135" s="35">
        <f t="shared" si="424"/>
        <v>0</v>
      </c>
      <c r="CO135" s="35">
        <f t="shared" si="424"/>
        <v>0</v>
      </c>
      <c r="CP135" s="35">
        <f t="shared" si="424"/>
        <v>0</v>
      </c>
      <c r="CQ135" s="35">
        <f t="shared" si="424"/>
        <v>22979449.389999993</v>
      </c>
      <c r="CR135" s="37">
        <f t="shared" ref="CR135:CR140" si="425">+W135</f>
        <v>2611124.3699999996</v>
      </c>
      <c r="CS135" s="39">
        <f>+AC135</f>
        <v>1613121.6500000004</v>
      </c>
      <c r="CT135" s="53">
        <f>+AI135</f>
        <v>3208280.6399999997</v>
      </c>
      <c r="CU135" s="39">
        <f>+AO135</f>
        <v>2156450.3699999992</v>
      </c>
      <c r="CV135" s="39">
        <f>+AU135</f>
        <v>13390472.359999998</v>
      </c>
      <c r="CW135" s="39">
        <f>+BA135</f>
        <v>0</v>
      </c>
      <c r="CX135" s="39">
        <f>+BG135</f>
        <v>0</v>
      </c>
      <c r="CY135" s="39">
        <f>+BM135</f>
        <v>0</v>
      </c>
      <c r="CZ135" s="39">
        <f>+BS135</f>
        <v>0</v>
      </c>
      <c r="DA135" s="39">
        <f>+BY135</f>
        <v>0</v>
      </c>
      <c r="DB135" s="39">
        <f>+CE135</f>
        <v>0</v>
      </c>
      <c r="DC135" s="39">
        <f>+CK135</f>
        <v>0</v>
      </c>
      <c r="DD135" s="39">
        <f>+HLOOKUP('Reporte Evolución Mensual'!$F$2-2,$CR$2:$DC$251, Input!$DG135, FALSE)</f>
        <v>19762848.100000001</v>
      </c>
      <c r="DE135" s="39">
        <f>+HLOOKUP('Reporte Evolución Mensual'!$F$2-1,$CR$2:$DC$251, Input!$DG135, FALSE)</f>
        <v>11660452.290000001</v>
      </c>
      <c r="DF135" s="39">
        <f>+HLOOKUP('Reporte Evolución Mensual'!$F$2,$CR$2:$DC$251, Input!$DG135, FALSE)</f>
        <v>6386265</v>
      </c>
      <c r="DG135" s="40">
        <f t="shared" si="422"/>
        <v>135</v>
      </c>
      <c r="DH135" s="39"/>
      <c r="DI135" s="39"/>
      <c r="DJ135" s="39"/>
      <c r="DK135" s="39"/>
      <c r="DL135" s="39"/>
      <c r="DM135" s="39"/>
      <c r="DN135" s="39"/>
      <c r="DO135" s="58"/>
      <c r="DP135" s="58"/>
      <c r="DQ135" s="58"/>
      <c r="DR135" s="58"/>
      <c r="DS135" s="1"/>
      <c r="DT135" s="1"/>
      <c r="DU135" s="1"/>
      <c r="DV135" s="345"/>
    </row>
    <row r="136" spans="1:126" ht="15" customHeight="1" x14ac:dyDescent="0.3">
      <c r="A136" s="1" t="str">
        <f t="shared" si="419"/>
        <v>ADIFSE</v>
      </c>
      <c r="B136" s="1" t="str">
        <f t="shared" si="420"/>
        <v>ADIFSE</v>
      </c>
      <c r="C136" s="1" t="str">
        <f t="shared" si="421"/>
        <v>MAY</v>
      </c>
      <c r="D136" s="1" t="s">
        <v>163</v>
      </c>
      <c r="E136" s="113" t="str">
        <f>H136</f>
        <v>Tasas y Aranceles</v>
      </c>
      <c r="F136" s="114">
        <v>12</v>
      </c>
      <c r="G136" s="1" t="s">
        <v>162</v>
      </c>
      <c r="H136" s="32" t="s">
        <v>167</v>
      </c>
      <c r="I136" s="32" t="s">
        <v>167</v>
      </c>
      <c r="J136" s="32" t="s">
        <v>289</v>
      </c>
      <c r="K136" s="38"/>
      <c r="L136" s="51"/>
      <c r="M136" s="51"/>
      <c r="N136" s="51"/>
      <c r="O136" s="51"/>
      <c r="P136" s="51"/>
      <c r="Q136" s="35">
        <f t="shared" ref="Q136:Q139" si="426">SUM(L136:P136)</f>
        <v>0</v>
      </c>
      <c r="R136" s="34"/>
      <c r="S136" s="51"/>
      <c r="T136" s="51"/>
      <c r="U136" s="34"/>
      <c r="V136" s="34"/>
      <c r="W136" s="52">
        <f t="shared" ref="W136:W139" si="427">SUM(R136:V136)</f>
        <v>0</v>
      </c>
      <c r="X136" s="34"/>
      <c r="Y136" s="448">
        <v>5000000</v>
      </c>
      <c r="Z136" s="51"/>
      <c r="AA136" s="34"/>
      <c r="AB136" s="34"/>
      <c r="AC136" s="52">
        <f t="shared" ref="AC136:AC139" si="428">SUM(X136:AB136)</f>
        <v>5000000</v>
      </c>
      <c r="AD136" s="34"/>
      <c r="AE136" s="51">
        <v>19762848.100000001</v>
      </c>
      <c r="AF136" s="51"/>
      <c r="AG136" s="34"/>
      <c r="AH136" s="34"/>
      <c r="AI136" s="52">
        <f t="shared" ref="AI136:AI139" si="429">SUM(AD136:AH136)</f>
        <v>19762848.100000001</v>
      </c>
      <c r="AJ136" s="34"/>
      <c r="AK136" s="51">
        <v>11660452.290000001</v>
      </c>
      <c r="AL136" s="51"/>
      <c r="AM136" s="34"/>
      <c r="AN136" s="34"/>
      <c r="AO136" s="52">
        <f t="shared" ref="AO136:AO139" si="430">SUM(AJ136:AN136)</f>
        <v>11660452.290000001</v>
      </c>
      <c r="AP136" s="34"/>
      <c r="AQ136" s="51">
        <v>6386265</v>
      </c>
      <c r="AR136" s="51"/>
      <c r="AS136" s="34"/>
      <c r="AT136" s="34"/>
      <c r="AU136" s="52">
        <f t="shared" ref="AU136:AU139" si="431">SUM(AP136:AT136)</f>
        <v>6386265</v>
      </c>
      <c r="AV136" s="34"/>
      <c r="AW136" s="51"/>
      <c r="AX136" s="51"/>
      <c r="AY136" s="34"/>
      <c r="AZ136" s="34"/>
      <c r="BA136" s="52">
        <f t="shared" ref="BA136:BA139" si="432">SUM(AV136:AZ136)</f>
        <v>0</v>
      </c>
      <c r="BB136" s="34"/>
      <c r="BC136" s="51"/>
      <c r="BD136" s="51"/>
      <c r="BE136" s="34"/>
      <c r="BF136" s="34"/>
      <c r="BG136" s="52">
        <f t="shared" ref="BG136:BG139" si="433">SUM(BB136:BF136)</f>
        <v>0</v>
      </c>
      <c r="BH136" s="34"/>
      <c r="BI136" s="51"/>
      <c r="BJ136" s="51"/>
      <c r="BK136" s="34"/>
      <c r="BL136" s="34"/>
      <c r="BM136" s="52">
        <f t="shared" ref="BM136:BM139" si="434">SUM(BH136:BL136)</f>
        <v>0</v>
      </c>
      <c r="BN136" s="34"/>
      <c r="BO136" s="51"/>
      <c r="BP136" s="51"/>
      <c r="BQ136" s="34"/>
      <c r="BR136" s="34"/>
      <c r="BS136" s="52">
        <f t="shared" ref="BS136:BS139" si="435">SUM(BN136:BR136)</f>
        <v>0</v>
      </c>
      <c r="BT136" s="34"/>
      <c r="BU136" s="51"/>
      <c r="BV136" s="51"/>
      <c r="BW136" s="34"/>
      <c r="BX136" s="34"/>
      <c r="BY136" s="52">
        <f t="shared" ref="BY136:BY139" si="436">SUM(BT136:BX136)</f>
        <v>0</v>
      </c>
      <c r="BZ136" s="34"/>
      <c r="CA136" s="51"/>
      <c r="CB136" s="51"/>
      <c r="CC136" s="34"/>
      <c r="CD136" s="34"/>
      <c r="CE136" s="52">
        <f t="shared" ref="CE136:CE139" si="437">SUM(BZ136:CD136)</f>
        <v>0</v>
      </c>
      <c r="CF136" s="34"/>
      <c r="CG136" s="51"/>
      <c r="CH136" s="51"/>
      <c r="CI136" s="34"/>
      <c r="CJ136" s="34"/>
      <c r="CK136" s="52">
        <f t="shared" ref="CK136:CK139" si="438">SUM(CF136:CJ136)</f>
        <v>0</v>
      </c>
      <c r="CL136" s="35">
        <f t="shared" si="424"/>
        <v>0</v>
      </c>
      <c r="CM136" s="35">
        <f t="shared" si="424"/>
        <v>42809565.390000001</v>
      </c>
      <c r="CN136" s="35">
        <f t="shared" si="424"/>
        <v>0</v>
      </c>
      <c r="CO136" s="35">
        <f t="shared" si="424"/>
        <v>0</v>
      </c>
      <c r="CP136" s="35">
        <f t="shared" si="424"/>
        <v>0</v>
      </c>
      <c r="CQ136" s="35">
        <f t="shared" si="424"/>
        <v>42809565.390000001</v>
      </c>
      <c r="CR136" s="37">
        <f t="shared" si="425"/>
        <v>0</v>
      </c>
      <c r="CS136" s="39">
        <f t="shared" ref="CS136:CS140" si="439">+AC136</f>
        <v>5000000</v>
      </c>
      <c r="CT136" s="53">
        <f t="shared" ref="CT136:CT140" si="440">+AI136</f>
        <v>19762848.100000001</v>
      </c>
      <c r="CU136" s="39">
        <f t="shared" ref="CU136:CU140" si="441">+AO136</f>
        <v>11660452.290000001</v>
      </c>
      <c r="CV136" s="39">
        <f t="shared" ref="CV136:CV140" si="442">+AU136</f>
        <v>6386265</v>
      </c>
      <c r="CW136" s="39">
        <f t="shared" ref="CW136:CW140" si="443">+BA136</f>
        <v>0</v>
      </c>
      <c r="CX136" s="39">
        <f t="shared" ref="CX136:CX140" si="444">+BG136</f>
        <v>0</v>
      </c>
      <c r="CY136" s="39">
        <f t="shared" ref="CY136:CY140" si="445">+BM136</f>
        <v>0</v>
      </c>
      <c r="CZ136" s="39">
        <f t="shared" ref="CZ136:CZ140" si="446">+BS136</f>
        <v>0</v>
      </c>
      <c r="DA136" s="39">
        <f t="shared" ref="DA136:DA140" si="447">+BY136</f>
        <v>0</v>
      </c>
      <c r="DB136" s="39">
        <f t="shared" ref="DB136:DB140" si="448">+CE136</f>
        <v>0</v>
      </c>
      <c r="DC136" s="39">
        <f t="shared" ref="DC136:DC140" si="449">+CK136</f>
        <v>0</v>
      </c>
      <c r="DD136" s="39">
        <f>+HLOOKUP('Reporte Evolución Mensual'!$F$2-2,$CR$2:$DC$251, Input!$DG136, FALSE)</f>
        <v>0</v>
      </c>
      <c r="DE136" s="39">
        <f>+HLOOKUP('Reporte Evolución Mensual'!$F$2-1,$CR$2:$DC$251, Input!$DG136, FALSE)</f>
        <v>0</v>
      </c>
      <c r="DF136" s="39">
        <f>+HLOOKUP('Reporte Evolución Mensual'!$F$2,$CR$2:$DC$251, Input!$DG136, FALSE)</f>
        <v>0</v>
      </c>
      <c r="DG136" s="40">
        <f t="shared" si="422"/>
        <v>136</v>
      </c>
      <c r="DH136" s="39"/>
      <c r="DI136" s="39"/>
      <c r="DJ136" s="39"/>
      <c r="DK136" s="39"/>
      <c r="DL136" s="39"/>
      <c r="DM136" s="39"/>
      <c r="DN136" s="39"/>
      <c r="DO136" s="58"/>
      <c r="DP136" s="58"/>
      <c r="DQ136" s="58"/>
      <c r="DR136" s="58"/>
      <c r="DS136" s="1"/>
      <c r="DT136" s="1"/>
      <c r="DU136" s="1"/>
      <c r="DV136" s="345" t="s">
        <v>163</v>
      </c>
    </row>
    <row r="137" spans="1:126" ht="15" customHeight="1" x14ac:dyDescent="0.3">
      <c r="A137" s="1" t="str">
        <f t="shared" si="419"/>
        <v>ADIFSE</v>
      </c>
      <c r="B137" s="1" t="str">
        <f t="shared" si="420"/>
        <v>ADIFSE</v>
      </c>
      <c r="C137" s="1" t="str">
        <f t="shared" si="421"/>
        <v>MAY</v>
      </c>
      <c r="D137" s="1" t="s">
        <v>163</v>
      </c>
      <c r="E137" s="113" t="str">
        <f>H137</f>
        <v>Ingresos Tributarios</v>
      </c>
      <c r="F137" s="114">
        <v>11</v>
      </c>
      <c r="G137" s="1" t="s">
        <v>162</v>
      </c>
      <c r="H137" s="32" t="s">
        <v>168</v>
      </c>
      <c r="I137" s="32" t="s">
        <v>168</v>
      </c>
      <c r="J137" s="32" t="s">
        <v>289</v>
      </c>
      <c r="K137" s="38"/>
      <c r="L137" s="51"/>
      <c r="M137" s="51"/>
      <c r="N137" s="51"/>
      <c r="O137" s="51"/>
      <c r="P137" s="51"/>
      <c r="Q137" s="35">
        <f t="shared" si="426"/>
        <v>0</v>
      </c>
      <c r="R137" s="34"/>
      <c r="S137" s="51"/>
      <c r="T137" s="51"/>
      <c r="U137" s="34"/>
      <c r="V137" s="34"/>
      <c r="W137" s="52">
        <f t="shared" si="427"/>
        <v>0</v>
      </c>
      <c r="X137" s="34"/>
      <c r="Y137" s="51"/>
      <c r="Z137" s="51"/>
      <c r="AA137" s="34"/>
      <c r="AB137" s="34"/>
      <c r="AC137" s="52">
        <f t="shared" si="428"/>
        <v>0</v>
      </c>
      <c r="AD137" s="34"/>
      <c r="AE137" s="51"/>
      <c r="AF137" s="51"/>
      <c r="AG137" s="34"/>
      <c r="AH137" s="34"/>
      <c r="AI137" s="52">
        <f t="shared" si="429"/>
        <v>0</v>
      </c>
      <c r="AJ137" s="34"/>
      <c r="AK137" s="51"/>
      <c r="AL137" s="51"/>
      <c r="AM137" s="34"/>
      <c r="AN137" s="34"/>
      <c r="AO137" s="52">
        <f t="shared" si="430"/>
        <v>0</v>
      </c>
      <c r="AP137" s="34"/>
      <c r="AQ137" s="51"/>
      <c r="AR137" s="51"/>
      <c r="AS137" s="34"/>
      <c r="AT137" s="34"/>
      <c r="AU137" s="52">
        <f t="shared" si="431"/>
        <v>0</v>
      </c>
      <c r="AV137" s="34"/>
      <c r="AW137" s="51"/>
      <c r="AX137" s="51"/>
      <c r="AY137" s="34"/>
      <c r="AZ137" s="34"/>
      <c r="BA137" s="52">
        <f t="shared" si="432"/>
        <v>0</v>
      </c>
      <c r="BB137" s="34"/>
      <c r="BC137" s="51"/>
      <c r="BD137" s="51"/>
      <c r="BE137" s="34"/>
      <c r="BF137" s="34"/>
      <c r="BG137" s="52">
        <f t="shared" si="433"/>
        <v>0</v>
      </c>
      <c r="BH137" s="34"/>
      <c r="BI137" s="51"/>
      <c r="BJ137" s="51"/>
      <c r="BK137" s="34"/>
      <c r="BL137" s="34"/>
      <c r="BM137" s="52">
        <f t="shared" si="434"/>
        <v>0</v>
      </c>
      <c r="BN137" s="34"/>
      <c r="BO137" s="51"/>
      <c r="BP137" s="51"/>
      <c r="BQ137" s="34"/>
      <c r="BR137" s="34"/>
      <c r="BS137" s="52">
        <f t="shared" si="435"/>
        <v>0</v>
      </c>
      <c r="BT137" s="34"/>
      <c r="BU137" s="51"/>
      <c r="BV137" s="51"/>
      <c r="BW137" s="34"/>
      <c r="BX137" s="34"/>
      <c r="BY137" s="52">
        <f t="shared" si="436"/>
        <v>0</v>
      </c>
      <c r="BZ137" s="34"/>
      <c r="CA137" s="51"/>
      <c r="CB137" s="51"/>
      <c r="CC137" s="34"/>
      <c r="CD137" s="34"/>
      <c r="CE137" s="52">
        <f t="shared" si="437"/>
        <v>0</v>
      </c>
      <c r="CF137" s="34"/>
      <c r="CG137" s="51"/>
      <c r="CH137" s="51"/>
      <c r="CI137" s="34"/>
      <c r="CJ137" s="34"/>
      <c r="CK137" s="52">
        <f t="shared" si="438"/>
        <v>0</v>
      </c>
      <c r="CL137" s="35">
        <f t="shared" si="424"/>
        <v>0</v>
      </c>
      <c r="CM137" s="35">
        <f t="shared" si="424"/>
        <v>0</v>
      </c>
      <c r="CN137" s="35">
        <f t="shared" si="424"/>
        <v>0</v>
      </c>
      <c r="CO137" s="35">
        <f t="shared" si="424"/>
        <v>0</v>
      </c>
      <c r="CP137" s="35">
        <f t="shared" si="424"/>
        <v>0</v>
      </c>
      <c r="CQ137" s="35">
        <f t="shared" si="424"/>
        <v>0</v>
      </c>
      <c r="CR137" s="37">
        <f t="shared" si="425"/>
        <v>0</v>
      </c>
      <c r="CS137" s="39">
        <f t="shared" si="439"/>
        <v>0</v>
      </c>
      <c r="CT137" s="53">
        <f t="shared" si="440"/>
        <v>0</v>
      </c>
      <c r="CU137" s="39">
        <f t="shared" si="441"/>
        <v>0</v>
      </c>
      <c r="CV137" s="39">
        <f t="shared" si="442"/>
        <v>0</v>
      </c>
      <c r="CW137" s="39">
        <f t="shared" si="443"/>
        <v>0</v>
      </c>
      <c r="CX137" s="39">
        <f t="shared" si="444"/>
        <v>0</v>
      </c>
      <c r="CY137" s="39">
        <f t="shared" si="445"/>
        <v>0</v>
      </c>
      <c r="CZ137" s="39">
        <f t="shared" si="446"/>
        <v>0</v>
      </c>
      <c r="DA137" s="39">
        <f t="shared" si="447"/>
        <v>0</v>
      </c>
      <c r="DB137" s="39">
        <f t="shared" si="448"/>
        <v>0</v>
      </c>
      <c r="DC137" s="39">
        <f t="shared" si="449"/>
        <v>0</v>
      </c>
      <c r="DD137" s="39">
        <f>+HLOOKUP('Reporte Evolución Mensual'!$F$2-2,$CR$2:$DC$251, Input!$DG137, FALSE)</f>
        <v>6051660.7199999997</v>
      </c>
      <c r="DE137" s="39">
        <f>+HLOOKUP('Reporte Evolución Mensual'!$F$2-1,$CR$2:$DC$251, Input!$DG137, FALSE)</f>
        <v>11219865.51</v>
      </c>
      <c r="DF137" s="39">
        <f>+HLOOKUP('Reporte Evolución Mensual'!$F$2,$CR$2:$DC$251, Input!$DG137, FALSE)</f>
        <v>8957022.1500000004</v>
      </c>
      <c r="DG137" s="40">
        <f t="shared" si="422"/>
        <v>137</v>
      </c>
      <c r="DH137" s="39"/>
      <c r="DI137" s="39"/>
      <c r="DJ137" s="39"/>
      <c r="DK137" s="39"/>
      <c r="DL137" s="39"/>
      <c r="DM137" s="39"/>
      <c r="DN137" s="39"/>
      <c r="DO137" s="58"/>
      <c r="DP137" s="58"/>
      <c r="DQ137" s="58"/>
      <c r="DR137" s="58"/>
      <c r="DS137" s="1"/>
      <c r="DT137" s="1"/>
      <c r="DU137" s="1"/>
      <c r="DV137" s="345" t="s">
        <v>163</v>
      </c>
    </row>
    <row r="138" spans="1:126" ht="15" customHeight="1" x14ac:dyDescent="0.3">
      <c r="A138" s="1" t="str">
        <f t="shared" si="419"/>
        <v>ADIFSE</v>
      </c>
      <c r="B138" s="1" t="str">
        <f t="shared" si="420"/>
        <v>ADIFSE</v>
      </c>
      <c r="C138" s="1" t="str">
        <f t="shared" si="421"/>
        <v>MAY</v>
      </c>
      <c r="D138" s="1" t="s">
        <v>163</v>
      </c>
      <c r="E138" s="113" t="str">
        <f>H138</f>
        <v>Intereses</v>
      </c>
      <c r="F138" s="114" t="s">
        <v>169</v>
      </c>
      <c r="G138" s="1" t="s">
        <v>162</v>
      </c>
      <c r="H138" s="32" t="s">
        <v>170</v>
      </c>
      <c r="I138" s="32" t="s">
        <v>170</v>
      </c>
      <c r="J138" s="32" t="s">
        <v>289</v>
      </c>
      <c r="K138" s="38"/>
      <c r="L138" s="51"/>
      <c r="M138" s="51"/>
      <c r="N138" s="51"/>
      <c r="O138" s="51"/>
      <c r="P138" s="51"/>
      <c r="Q138" s="35">
        <f t="shared" si="426"/>
        <v>0</v>
      </c>
      <c r="R138" s="34"/>
      <c r="S138" s="51">
        <v>2705561.3000000003</v>
      </c>
      <c r="T138" s="51"/>
      <c r="U138" s="34"/>
      <c r="V138" s="34"/>
      <c r="W138" s="52">
        <f t="shared" si="427"/>
        <v>2705561.3000000003</v>
      </c>
      <c r="X138" s="34"/>
      <c r="Y138" s="51">
        <v>2630849.21</v>
      </c>
      <c r="Z138" s="51"/>
      <c r="AA138" s="34"/>
      <c r="AB138" s="34"/>
      <c r="AC138" s="52">
        <f t="shared" si="428"/>
        <v>2630849.21</v>
      </c>
      <c r="AD138" s="34"/>
      <c r="AE138" s="51">
        <v>6051660.7199999997</v>
      </c>
      <c r="AF138" s="51"/>
      <c r="AG138" s="34"/>
      <c r="AH138" s="34"/>
      <c r="AI138" s="52">
        <f t="shared" si="429"/>
        <v>6051660.7199999997</v>
      </c>
      <c r="AJ138" s="34"/>
      <c r="AK138" s="51">
        <v>11219865.51</v>
      </c>
      <c r="AL138" s="51"/>
      <c r="AM138" s="34"/>
      <c r="AN138" s="34"/>
      <c r="AO138" s="52">
        <f t="shared" si="430"/>
        <v>11219865.51</v>
      </c>
      <c r="AP138" s="34"/>
      <c r="AQ138" s="51">
        <v>8957022.1500000004</v>
      </c>
      <c r="AR138" s="51"/>
      <c r="AS138" s="34"/>
      <c r="AT138" s="34"/>
      <c r="AU138" s="52">
        <f t="shared" si="431"/>
        <v>8957022.1500000004</v>
      </c>
      <c r="AV138" s="34"/>
      <c r="AW138" s="51"/>
      <c r="AX138" s="51"/>
      <c r="AY138" s="34"/>
      <c r="AZ138" s="34"/>
      <c r="BA138" s="52">
        <f t="shared" si="432"/>
        <v>0</v>
      </c>
      <c r="BB138" s="34"/>
      <c r="BC138" s="51"/>
      <c r="BD138" s="51"/>
      <c r="BE138" s="34"/>
      <c r="BF138" s="34"/>
      <c r="BG138" s="52">
        <f t="shared" si="433"/>
        <v>0</v>
      </c>
      <c r="BH138" s="34"/>
      <c r="BI138" s="51"/>
      <c r="BJ138" s="51"/>
      <c r="BK138" s="34"/>
      <c r="BL138" s="34"/>
      <c r="BM138" s="52">
        <f t="shared" si="434"/>
        <v>0</v>
      </c>
      <c r="BN138" s="34"/>
      <c r="BO138" s="51"/>
      <c r="BP138" s="51"/>
      <c r="BQ138" s="34"/>
      <c r="BR138" s="34"/>
      <c r="BS138" s="52">
        <f t="shared" si="435"/>
        <v>0</v>
      </c>
      <c r="BT138" s="34"/>
      <c r="BU138" s="51"/>
      <c r="BV138" s="51"/>
      <c r="BW138" s="34"/>
      <c r="BX138" s="34"/>
      <c r="BY138" s="52">
        <f t="shared" si="436"/>
        <v>0</v>
      </c>
      <c r="BZ138" s="34"/>
      <c r="CA138" s="51"/>
      <c r="CB138" s="51"/>
      <c r="CC138" s="34"/>
      <c r="CD138" s="34"/>
      <c r="CE138" s="52">
        <f t="shared" si="437"/>
        <v>0</v>
      </c>
      <c r="CF138" s="34"/>
      <c r="CG138" s="51"/>
      <c r="CH138" s="51"/>
      <c r="CI138" s="34"/>
      <c r="CJ138" s="34"/>
      <c r="CK138" s="52">
        <f t="shared" si="438"/>
        <v>0</v>
      </c>
      <c r="CL138" s="35">
        <f t="shared" si="424"/>
        <v>0</v>
      </c>
      <c r="CM138" s="35">
        <f t="shared" si="424"/>
        <v>31564958.890000001</v>
      </c>
      <c r="CN138" s="35">
        <f t="shared" si="424"/>
        <v>0</v>
      </c>
      <c r="CO138" s="35">
        <f t="shared" si="424"/>
        <v>0</v>
      </c>
      <c r="CP138" s="35">
        <f t="shared" si="424"/>
        <v>0</v>
      </c>
      <c r="CQ138" s="35">
        <f t="shared" si="424"/>
        <v>31564958.890000001</v>
      </c>
      <c r="CR138" s="37">
        <f t="shared" si="425"/>
        <v>2705561.3000000003</v>
      </c>
      <c r="CS138" s="39">
        <f t="shared" si="439"/>
        <v>2630849.21</v>
      </c>
      <c r="CT138" s="53">
        <f t="shared" si="440"/>
        <v>6051660.7199999997</v>
      </c>
      <c r="CU138" s="39">
        <f t="shared" si="441"/>
        <v>11219865.51</v>
      </c>
      <c r="CV138" s="39">
        <f t="shared" si="442"/>
        <v>8957022.1500000004</v>
      </c>
      <c r="CW138" s="39">
        <f t="shared" si="443"/>
        <v>0</v>
      </c>
      <c r="CX138" s="39">
        <f t="shared" si="444"/>
        <v>0</v>
      </c>
      <c r="CY138" s="39">
        <f t="shared" si="445"/>
        <v>0</v>
      </c>
      <c r="CZ138" s="39">
        <f t="shared" si="446"/>
        <v>0</v>
      </c>
      <c r="DA138" s="39">
        <f t="shared" si="447"/>
        <v>0</v>
      </c>
      <c r="DB138" s="39">
        <f t="shared" si="448"/>
        <v>0</v>
      </c>
      <c r="DC138" s="39">
        <f t="shared" si="449"/>
        <v>0</v>
      </c>
      <c r="DD138" s="39">
        <f>+HLOOKUP('Reporte Evolución Mensual'!$F$2-2,$CR$2:$DC$251, Input!$DG138, FALSE)</f>
        <v>0</v>
      </c>
      <c r="DE138" s="39">
        <f>+HLOOKUP('Reporte Evolución Mensual'!$F$2-1,$CR$2:$DC$251, Input!$DG138, FALSE)</f>
        <v>0</v>
      </c>
      <c r="DF138" s="39">
        <f>+HLOOKUP('Reporte Evolución Mensual'!$F$2,$CR$2:$DC$251, Input!$DG138, FALSE)</f>
        <v>0</v>
      </c>
      <c r="DG138" s="40">
        <f t="shared" si="422"/>
        <v>138</v>
      </c>
      <c r="DH138" s="39"/>
      <c r="DI138" s="39"/>
      <c r="DJ138" s="39"/>
      <c r="DK138" s="39"/>
      <c r="DL138" s="39"/>
      <c r="DM138" s="39"/>
      <c r="DN138" s="39"/>
      <c r="DO138" s="58"/>
      <c r="DP138" s="58"/>
      <c r="DQ138" s="58"/>
      <c r="DR138" s="58"/>
      <c r="DS138" s="1"/>
      <c r="DT138" s="1"/>
      <c r="DU138" s="1"/>
      <c r="DV138" s="345" t="s">
        <v>163</v>
      </c>
    </row>
    <row r="139" spans="1:126" ht="15" customHeight="1" x14ac:dyDescent="0.3">
      <c r="A139" s="1" t="str">
        <f t="shared" si="419"/>
        <v>ADIFSE</v>
      </c>
      <c r="B139" s="1" t="str">
        <f t="shared" si="420"/>
        <v>ADIFSE</v>
      </c>
      <c r="C139" s="1" t="str">
        <f t="shared" si="421"/>
        <v>MAY</v>
      </c>
      <c r="D139" s="1" t="s">
        <v>163</v>
      </c>
      <c r="E139" s="113" t="str">
        <f>H139</f>
        <v>Otras Rentas de la Propiedad</v>
      </c>
      <c r="F139" s="114" t="s">
        <v>172</v>
      </c>
      <c r="G139" s="1" t="s">
        <v>162</v>
      </c>
      <c r="H139" s="32" t="s">
        <v>171</v>
      </c>
      <c r="I139" s="32" t="s">
        <v>171</v>
      </c>
      <c r="J139" s="32" t="s">
        <v>289</v>
      </c>
      <c r="K139" s="38"/>
      <c r="L139" s="51"/>
      <c r="M139" s="51"/>
      <c r="N139" s="51"/>
      <c r="O139" s="51"/>
      <c r="P139" s="51"/>
      <c r="Q139" s="35">
        <f t="shared" si="426"/>
        <v>0</v>
      </c>
      <c r="R139" s="34"/>
      <c r="S139" s="51"/>
      <c r="T139" s="51"/>
      <c r="U139" s="34"/>
      <c r="V139" s="34"/>
      <c r="W139" s="52">
        <f t="shared" si="427"/>
        <v>0</v>
      </c>
      <c r="X139" s="34"/>
      <c r="Y139" s="51"/>
      <c r="Z139" s="51"/>
      <c r="AA139" s="34"/>
      <c r="AB139" s="34"/>
      <c r="AC139" s="52">
        <f t="shared" si="428"/>
        <v>0</v>
      </c>
      <c r="AD139" s="34"/>
      <c r="AE139" s="51"/>
      <c r="AF139" s="51"/>
      <c r="AG139" s="34"/>
      <c r="AH139" s="34"/>
      <c r="AI139" s="52">
        <f t="shared" si="429"/>
        <v>0</v>
      </c>
      <c r="AJ139" s="34"/>
      <c r="AK139" s="51"/>
      <c r="AL139" s="51"/>
      <c r="AM139" s="34"/>
      <c r="AN139" s="34"/>
      <c r="AO139" s="52">
        <f t="shared" si="430"/>
        <v>0</v>
      </c>
      <c r="AP139" s="34"/>
      <c r="AQ139" s="51"/>
      <c r="AR139" s="51"/>
      <c r="AS139" s="34"/>
      <c r="AT139" s="34"/>
      <c r="AU139" s="52">
        <f t="shared" si="431"/>
        <v>0</v>
      </c>
      <c r="AV139" s="34"/>
      <c r="AW139" s="51"/>
      <c r="AX139" s="51"/>
      <c r="AY139" s="34"/>
      <c r="AZ139" s="34"/>
      <c r="BA139" s="52">
        <f t="shared" si="432"/>
        <v>0</v>
      </c>
      <c r="BB139" s="34"/>
      <c r="BC139" s="51"/>
      <c r="BD139" s="51"/>
      <c r="BE139" s="34"/>
      <c r="BF139" s="34"/>
      <c r="BG139" s="52">
        <f t="shared" si="433"/>
        <v>0</v>
      </c>
      <c r="BH139" s="34"/>
      <c r="BI139" s="51"/>
      <c r="BJ139" s="51"/>
      <c r="BK139" s="34"/>
      <c r="BL139" s="34"/>
      <c r="BM139" s="52">
        <f t="shared" si="434"/>
        <v>0</v>
      </c>
      <c r="BN139" s="34"/>
      <c r="BO139" s="51"/>
      <c r="BP139" s="51"/>
      <c r="BQ139" s="34"/>
      <c r="BR139" s="34"/>
      <c r="BS139" s="52">
        <f t="shared" si="435"/>
        <v>0</v>
      </c>
      <c r="BT139" s="34"/>
      <c r="BU139" s="51"/>
      <c r="BV139" s="51"/>
      <c r="BW139" s="34"/>
      <c r="BX139" s="34"/>
      <c r="BY139" s="52">
        <f t="shared" si="436"/>
        <v>0</v>
      </c>
      <c r="BZ139" s="34"/>
      <c r="CA139" s="51"/>
      <c r="CB139" s="51"/>
      <c r="CC139" s="34"/>
      <c r="CD139" s="34"/>
      <c r="CE139" s="52">
        <f t="shared" si="437"/>
        <v>0</v>
      </c>
      <c r="CF139" s="34"/>
      <c r="CG139" s="51"/>
      <c r="CH139" s="51"/>
      <c r="CI139" s="34"/>
      <c r="CJ139" s="34"/>
      <c r="CK139" s="52">
        <f t="shared" si="438"/>
        <v>0</v>
      </c>
      <c r="CL139" s="35">
        <f t="shared" si="424"/>
        <v>0</v>
      </c>
      <c r="CM139" s="35">
        <f t="shared" si="424"/>
        <v>0</v>
      </c>
      <c r="CN139" s="35">
        <f t="shared" si="424"/>
        <v>0</v>
      </c>
      <c r="CO139" s="35">
        <f t="shared" si="424"/>
        <v>0</v>
      </c>
      <c r="CP139" s="35">
        <f t="shared" si="424"/>
        <v>0</v>
      </c>
      <c r="CQ139" s="35">
        <f t="shared" si="424"/>
        <v>0</v>
      </c>
      <c r="CR139" s="37">
        <f t="shared" si="425"/>
        <v>0</v>
      </c>
      <c r="CS139" s="39">
        <f t="shared" si="439"/>
        <v>0</v>
      </c>
      <c r="CT139" s="53">
        <f t="shared" si="440"/>
        <v>0</v>
      </c>
      <c r="CU139" s="39">
        <f t="shared" si="441"/>
        <v>0</v>
      </c>
      <c r="CV139" s="39">
        <f t="shared" si="442"/>
        <v>0</v>
      </c>
      <c r="CW139" s="39">
        <f t="shared" si="443"/>
        <v>0</v>
      </c>
      <c r="CX139" s="39">
        <f t="shared" si="444"/>
        <v>0</v>
      </c>
      <c r="CY139" s="39">
        <f t="shared" si="445"/>
        <v>0</v>
      </c>
      <c r="CZ139" s="39">
        <f t="shared" si="446"/>
        <v>0</v>
      </c>
      <c r="DA139" s="39">
        <f t="shared" si="447"/>
        <v>0</v>
      </c>
      <c r="DB139" s="39">
        <f t="shared" si="448"/>
        <v>0</v>
      </c>
      <c r="DC139" s="39">
        <f t="shared" si="449"/>
        <v>0</v>
      </c>
      <c r="DD139" s="39">
        <f>+HLOOKUP('Reporte Evolución Mensual'!$F$2-2,$CR$2:$DC$251, Input!$DG139, FALSE)</f>
        <v>29022789.460000001</v>
      </c>
      <c r="DE139" s="39">
        <f>+HLOOKUP('Reporte Evolución Mensual'!$F$2-1,$CR$2:$DC$251, Input!$DG139, FALSE)</f>
        <v>25036768.170000002</v>
      </c>
      <c r="DF139" s="39">
        <f>+HLOOKUP('Reporte Evolución Mensual'!$F$2,$CR$2:$DC$251, Input!$DG139, FALSE)</f>
        <v>28733759.509999998</v>
      </c>
      <c r="DG139" s="40">
        <f t="shared" si="422"/>
        <v>139</v>
      </c>
      <c r="DH139" s="39"/>
      <c r="DI139" s="39"/>
      <c r="DJ139" s="39"/>
      <c r="DK139" s="39"/>
      <c r="DL139" s="39"/>
      <c r="DM139" s="39"/>
      <c r="DN139" s="39"/>
      <c r="DO139" s="58"/>
      <c r="DP139" s="58"/>
      <c r="DQ139" s="58"/>
      <c r="DR139" s="58"/>
      <c r="DS139" s="1"/>
      <c r="DT139" s="1"/>
      <c r="DU139" s="1"/>
      <c r="DV139" s="345" t="s">
        <v>163</v>
      </c>
    </row>
    <row r="140" spans="1:126" ht="15" customHeight="1" x14ac:dyDescent="0.3">
      <c r="A140" s="1" t="str">
        <f t="shared" si="419"/>
        <v>ADIFSE</v>
      </c>
      <c r="B140" s="1" t="str">
        <f t="shared" si="420"/>
        <v>ADIFSE</v>
      </c>
      <c r="C140" s="1" t="str">
        <f t="shared" si="421"/>
        <v>MAY</v>
      </c>
      <c r="D140" s="41" t="s">
        <v>108</v>
      </c>
      <c r="E140" s="117" t="str">
        <f>CONCATENATE(G140," - ",I140)</f>
        <v>Ingresos - Total</v>
      </c>
      <c r="F140" s="116"/>
      <c r="G140" s="1" t="s">
        <v>162</v>
      </c>
      <c r="H140" s="32" t="s">
        <v>173</v>
      </c>
      <c r="I140" s="32" t="s">
        <v>173</v>
      </c>
      <c r="J140" s="32" t="s">
        <v>289</v>
      </c>
      <c r="K140" s="46"/>
      <c r="L140" s="55">
        <f t="shared" ref="L140:BW140" si="450">SUM(L135:L139)</f>
        <v>0</v>
      </c>
      <c r="M140" s="55">
        <f t="shared" si="450"/>
        <v>0</v>
      </c>
      <c r="N140" s="55">
        <f t="shared" si="450"/>
        <v>0</v>
      </c>
      <c r="O140" s="55">
        <f t="shared" si="450"/>
        <v>0</v>
      </c>
      <c r="P140" s="55">
        <f t="shared" si="450"/>
        <v>0</v>
      </c>
      <c r="Q140" s="55">
        <f t="shared" si="450"/>
        <v>0</v>
      </c>
      <c r="R140" s="55">
        <f t="shared" si="450"/>
        <v>0</v>
      </c>
      <c r="S140" s="55">
        <f t="shared" si="450"/>
        <v>5316685.67</v>
      </c>
      <c r="T140" s="55">
        <f t="shared" si="450"/>
        <v>0</v>
      </c>
      <c r="U140" s="55">
        <f t="shared" si="450"/>
        <v>0</v>
      </c>
      <c r="V140" s="55">
        <f t="shared" si="450"/>
        <v>0</v>
      </c>
      <c r="W140" s="55">
        <f t="shared" si="450"/>
        <v>5316685.67</v>
      </c>
      <c r="X140" s="55">
        <f t="shared" si="450"/>
        <v>0</v>
      </c>
      <c r="Y140" s="55">
        <f t="shared" si="450"/>
        <v>9243970.8599999994</v>
      </c>
      <c r="Z140" s="55">
        <f t="shared" si="450"/>
        <v>0</v>
      </c>
      <c r="AA140" s="55">
        <f t="shared" si="450"/>
        <v>0</v>
      </c>
      <c r="AB140" s="55">
        <f t="shared" si="450"/>
        <v>0</v>
      </c>
      <c r="AC140" s="55">
        <f t="shared" si="450"/>
        <v>9243970.8599999994</v>
      </c>
      <c r="AD140" s="55">
        <f t="shared" si="450"/>
        <v>0</v>
      </c>
      <c r="AE140" s="55">
        <f t="shared" si="450"/>
        <v>29022789.460000001</v>
      </c>
      <c r="AF140" s="55">
        <f t="shared" si="450"/>
        <v>0</v>
      </c>
      <c r="AG140" s="55">
        <f t="shared" si="450"/>
        <v>0</v>
      </c>
      <c r="AH140" s="55">
        <f t="shared" si="450"/>
        <v>0</v>
      </c>
      <c r="AI140" s="55">
        <f t="shared" si="450"/>
        <v>29022789.460000001</v>
      </c>
      <c r="AJ140" s="55">
        <f t="shared" si="450"/>
        <v>0</v>
      </c>
      <c r="AK140" s="55">
        <f t="shared" si="450"/>
        <v>25036768.170000002</v>
      </c>
      <c r="AL140" s="55">
        <f t="shared" si="450"/>
        <v>0</v>
      </c>
      <c r="AM140" s="55">
        <f t="shared" si="450"/>
        <v>0</v>
      </c>
      <c r="AN140" s="55">
        <f t="shared" si="450"/>
        <v>0</v>
      </c>
      <c r="AO140" s="55">
        <f t="shared" si="450"/>
        <v>25036768.170000002</v>
      </c>
      <c r="AP140" s="55">
        <f t="shared" si="450"/>
        <v>0</v>
      </c>
      <c r="AQ140" s="55">
        <f t="shared" si="450"/>
        <v>28733759.509999998</v>
      </c>
      <c r="AR140" s="55">
        <f t="shared" si="450"/>
        <v>0</v>
      </c>
      <c r="AS140" s="55">
        <f t="shared" si="450"/>
        <v>0</v>
      </c>
      <c r="AT140" s="55">
        <f t="shared" si="450"/>
        <v>0</v>
      </c>
      <c r="AU140" s="55">
        <f t="shared" si="450"/>
        <v>28733759.509999998</v>
      </c>
      <c r="AV140" s="55">
        <f t="shared" si="450"/>
        <v>0</v>
      </c>
      <c r="AW140" s="55">
        <f t="shared" si="450"/>
        <v>0</v>
      </c>
      <c r="AX140" s="55">
        <f t="shared" si="450"/>
        <v>0</v>
      </c>
      <c r="AY140" s="55">
        <f t="shared" si="450"/>
        <v>0</v>
      </c>
      <c r="AZ140" s="55">
        <f t="shared" si="450"/>
        <v>0</v>
      </c>
      <c r="BA140" s="55">
        <f t="shared" si="450"/>
        <v>0</v>
      </c>
      <c r="BB140" s="55">
        <f t="shared" si="450"/>
        <v>0</v>
      </c>
      <c r="BC140" s="55">
        <f t="shared" si="450"/>
        <v>0</v>
      </c>
      <c r="BD140" s="55">
        <f t="shared" si="450"/>
        <v>0</v>
      </c>
      <c r="BE140" s="55">
        <f t="shared" si="450"/>
        <v>0</v>
      </c>
      <c r="BF140" s="55">
        <f t="shared" si="450"/>
        <v>0</v>
      </c>
      <c r="BG140" s="55">
        <f t="shared" si="450"/>
        <v>0</v>
      </c>
      <c r="BH140" s="55">
        <f t="shared" si="450"/>
        <v>0</v>
      </c>
      <c r="BI140" s="55">
        <f t="shared" si="450"/>
        <v>0</v>
      </c>
      <c r="BJ140" s="55">
        <f t="shared" si="450"/>
        <v>0</v>
      </c>
      <c r="BK140" s="55">
        <f t="shared" si="450"/>
        <v>0</v>
      </c>
      <c r="BL140" s="55">
        <f t="shared" si="450"/>
        <v>0</v>
      </c>
      <c r="BM140" s="55">
        <f t="shared" si="450"/>
        <v>0</v>
      </c>
      <c r="BN140" s="55">
        <f t="shared" si="450"/>
        <v>0</v>
      </c>
      <c r="BO140" s="55">
        <f t="shared" si="450"/>
        <v>0</v>
      </c>
      <c r="BP140" s="55">
        <f t="shared" si="450"/>
        <v>0</v>
      </c>
      <c r="BQ140" s="55">
        <f t="shared" si="450"/>
        <v>0</v>
      </c>
      <c r="BR140" s="55">
        <f t="shared" si="450"/>
        <v>0</v>
      </c>
      <c r="BS140" s="55">
        <f t="shared" si="450"/>
        <v>0</v>
      </c>
      <c r="BT140" s="55">
        <f t="shared" si="450"/>
        <v>0</v>
      </c>
      <c r="BU140" s="55">
        <f t="shared" si="450"/>
        <v>0</v>
      </c>
      <c r="BV140" s="55">
        <f t="shared" si="450"/>
        <v>0</v>
      </c>
      <c r="BW140" s="55">
        <f t="shared" si="450"/>
        <v>0</v>
      </c>
      <c r="BX140" s="55">
        <f t="shared" ref="BX140:CK140" si="451">SUM(BX135:BX139)</f>
        <v>0</v>
      </c>
      <c r="BY140" s="55">
        <f t="shared" si="451"/>
        <v>0</v>
      </c>
      <c r="BZ140" s="55">
        <f t="shared" si="451"/>
        <v>0</v>
      </c>
      <c r="CA140" s="55">
        <f t="shared" si="451"/>
        <v>0</v>
      </c>
      <c r="CB140" s="55">
        <f t="shared" si="451"/>
        <v>0</v>
      </c>
      <c r="CC140" s="55">
        <f t="shared" si="451"/>
        <v>0</v>
      </c>
      <c r="CD140" s="55">
        <f t="shared" si="451"/>
        <v>0</v>
      </c>
      <c r="CE140" s="55">
        <f t="shared" si="451"/>
        <v>0</v>
      </c>
      <c r="CF140" s="55">
        <f t="shared" si="451"/>
        <v>0</v>
      </c>
      <c r="CG140" s="55">
        <f t="shared" si="451"/>
        <v>0</v>
      </c>
      <c r="CH140" s="55">
        <f t="shared" si="451"/>
        <v>0</v>
      </c>
      <c r="CI140" s="55">
        <f t="shared" si="451"/>
        <v>0</v>
      </c>
      <c r="CJ140" s="55">
        <f t="shared" si="451"/>
        <v>0</v>
      </c>
      <c r="CK140" s="55">
        <f t="shared" si="451"/>
        <v>0</v>
      </c>
      <c r="CL140" s="55">
        <f t="shared" si="424"/>
        <v>0</v>
      </c>
      <c r="CM140" s="55">
        <f t="shared" si="424"/>
        <v>97353973.669999987</v>
      </c>
      <c r="CN140" s="55">
        <f t="shared" si="424"/>
        <v>0</v>
      </c>
      <c r="CO140" s="55">
        <f t="shared" si="424"/>
        <v>0</v>
      </c>
      <c r="CP140" s="55">
        <f t="shared" si="424"/>
        <v>0</v>
      </c>
      <c r="CQ140" s="55">
        <f t="shared" si="424"/>
        <v>97353973.669999987</v>
      </c>
      <c r="CR140" s="37">
        <f t="shared" si="425"/>
        <v>5316685.67</v>
      </c>
      <c r="CS140" s="39">
        <f t="shared" si="439"/>
        <v>9243970.8599999994</v>
      </c>
      <c r="CT140" s="53">
        <f t="shared" si="440"/>
        <v>29022789.460000001</v>
      </c>
      <c r="CU140" s="39">
        <f t="shared" si="441"/>
        <v>25036768.170000002</v>
      </c>
      <c r="CV140" s="39">
        <f t="shared" si="442"/>
        <v>28733759.509999998</v>
      </c>
      <c r="CW140" s="39">
        <f t="shared" si="443"/>
        <v>0</v>
      </c>
      <c r="CX140" s="39">
        <f t="shared" si="444"/>
        <v>0</v>
      </c>
      <c r="CY140" s="39">
        <f t="shared" si="445"/>
        <v>0</v>
      </c>
      <c r="CZ140" s="39">
        <f t="shared" si="446"/>
        <v>0</v>
      </c>
      <c r="DA140" s="39">
        <f t="shared" si="447"/>
        <v>0</v>
      </c>
      <c r="DB140" s="39">
        <f t="shared" si="448"/>
        <v>0</v>
      </c>
      <c r="DC140" s="39">
        <f t="shared" si="449"/>
        <v>0</v>
      </c>
      <c r="DD140" s="39">
        <f>+HLOOKUP('Reporte Evolución Mensual'!$F$2-2,$CR$2:$DC$251, Input!$DG140, FALSE)</f>
        <v>0</v>
      </c>
      <c r="DE140" s="39">
        <f>+HLOOKUP('Reporte Evolución Mensual'!$F$2-1,$CR$2:$DC$251, Input!$DG140, FALSE)</f>
        <v>0</v>
      </c>
      <c r="DF140" s="39">
        <f>+HLOOKUP('Reporte Evolución Mensual'!$F$2,$CR$2:$DC$251, Input!$DG140, FALSE)</f>
        <v>0</v>
      </c>
      <c r="DG140" s="40">
        <f t="shared" si="422"/>
        <v>140</v>
      </c>
      <c r="DH140" s="39"/>
      <c r="DI140" s="39"/>
      <c r="DJ140" s="39"/>
      <c r="DK140" s="39"/>
      <c r="DL140" s="39"/>
      <c r="DM140" s="39"/>
      <c r="DN140" s="39"/>
      <c r="DO140" s="58"/>
      <c r="DP140" s="58"/>
      <c r="DQ140" s="58"/>
      <c r="DR140" s="58"/>
      <c r="DS140" s="41"/>
      <c r="DT140" s="41"/>
      <c r="DU140" s="41"/>
      <c r="DV140" s="345" t="s">
        <v>163</v>
      </c>
    </row>
    <row r="141" spans="1:126" ht="15" customHeight="1" x14ac:dyDescent="0.3">
      <c r="A141" s="1" t="str">
        <f t="shared" si="419"/>
        <v>ADIFSE</v>
      </c>
      <c r="B141" s="1" t="str">
        <f t="shared" si="420"/>
        <v>ADIFSE</v>
      </c>
      <c r="C141" s="1" t="str">
        <f t="shared" si="421"/>
        <v>MAY</v>
      </c>
      <c r="D141" s="41" t="s">
        <v>108</v>
      </c>
      <c r="E141" s="117" t="s">
        <v>333</v>
      </c>
      <c r="F141" s="116"/>
      <c r="G141" s="1"/>
      <c r="H141" s="32"/>
      <c r="I141" s="32"/>
      <c r="J141" s="32"/>
      <c r="K141" s="46"/>
      <c r="L141" s="55"/>
      <c r="M141" s="55"/>
      <c r="N141" s="55"/>
      <c r="O141" s="55"/>
      <c r="P141" s="55"/>
      <c r="Q141" s="56"/>
      <c r="R141" s="55"/>
      <c r="S141" s="55"/>
      <c r="T141" s="55"/>
      <c r="U141" s="55"/>
      <c r="V141" s="55"/>
      <c r="W141" s="57"/>
      <c r="X141" s="55"/>
      <c r="Y141" s="55"/>
      <c r="Z141" s="55"/>
      <c r="AA141" s="55"/>
      <c r="AB141" s="55"/>
      <c r="AC141" s="57"/>
      <c r="AD141" s="55"/>
      <c r="AE141" s="55"/>
      <c r="AF141" s="55"/>
      <c r="AG141" s="55"/>
      <c r="AH141" s="55"/>
      <c r="AI141" s="57"/>
      <c r="AJ141" s="55"/>
      <c r="AK141" s="55"/>
      <c r="AL141" s="55"/>
      <c r="AM141" s="55"/>
      <c r="AN141" s="55"/>
      <c r="AO141" s="57"/>
      <c r="AP141" s="55"/>
      <c r="AQ141" s="55"/>
      <c r="AR141" s="55"/>
      <c r="AS141" s="55"/>
      <c r="AT141" s="55"/>
      <c r="AU141" s="57"/>
      <c r="AV141" s="55"/>
      <c r="AW141" s="55"/>
      <c r="AX141" s="55"/>
      <c r="AY141" s="55"/>
      <c r="AZ141" s="55"/>
      <c r="BA141" s="57"/>
      <c r="BB141" s="55"/>
      <c r="BC141" s="55"/>
      <c r="BD141" s="55"/>
      <c r="BE141" s="55"/>
      <c r="BF141" s="55"/>
      <c r="BG141" s="57"/>
      <c r="BH141" s="55"/>
      <c r="BI141" s="55"/>
      <c r="BJ141" s="55"/>
      <c r="BK141" s="55"/>
      <c r="BL141" s="55"/>
      <c r="BM141" s="57"/>
      <c r="BN141" s="55"/>
      <c r="BO141" s="55"/>
      <c r="BP141" s="55"/>
      <c r="BQ141" s="55"/>
      <c r="BR141" s="55"/>
      <c r="BS141" s="57"/>
      <c r="BT141" s="55"/>
      <c r="BU141" s="55"/>
      <c r="BV141" s="55"/>
      <c r="BW141" s="55"/>
      <c r="BX141" s="55"/>
      <c r="BY141" s="57"/>
      <c r="BZ141" s="55"/>
      <c r="CA141" s="55"/>
      <c r="CB141" s="55"/>
      <c r="CC141" s="55"/>
      <c r="CD141" s="55"/>
      <c r="CE141" s="57"/>
      <c r="CF141" s="55"/>
      <c r="CG141" s="55"/>
      <c r="CH141" s="55"/>
      <c r="CI141" s="55"/>
      <c r="CJ141" s="55"/>
      <c r="CK141" s="57"/>
      <c r="CL141" s="56"/>
      <c r="CM141" s="56"/>
      <c r="CN141" s="56"/>
      <c r="CO141" s="56"/>
      <c r="CP141" s="56"/>
      <c r="CQ141" s="56"/>
      <c r="CR141" s="46"/>
      <c r="CS141" s="46"/>
      <c r="CT141" s="46"/>
      <c r="CU141" s="46"/>
      <c r="CV141" s="46"/>
      <c r="CW141" s="46"/>
      <c r="CX141" s="46"/>
      <c r="CY141" s="46"/>
      <c r="CZ141" s="46"/>
      <c r="DA141" s="46"/>
      <c r="DB141" s="46"/>
      <c r="DC141" s="48"/>
      <c r="DD141" s="39">
        <f>+HLOOKUP('Reporte Evolución Mensual'!$F$2-2,$CR$2:$DC$251, Input!$DG141, FALSE)</f>
        <v>0</v>
      </c>
      <c r="DE141" s="39">
        <f>+HLOOKUP('Reporte Evolución Mensual'!$F$2-1,$CR$2:$DC$251, Input!$DG141, FALSE)</f>
        <v>0</v>
      </c>
      <c r="DF141" s="39">
        <f>+HLOOKUP('Reporte Evolución Mensual'!$F$2,$CR$2:$DC$251, Input!$DG141, FALSE)</f>
        <v>0</v>
      </c>
      <c r="DG141" s="40">
        <f t="shared" si="422"/>
        <v>141</v>
      </c>
      <c r="DH141" s="39"/>
      <c r="DI141" s="39"/>
      <c r="DJ141" s="39"/>
      <c r="DK141" s="39"/>
      <c r="DL141" s="39"/>
      <c r="DM141" s="39"/>
      <c r="DN141" s="39"/>
      <c r="DO141" s="58"/>
      <c r="DP141" s="58"/>
      <c r="DQ141" s="58"/>
      <c r="DR141" s="58"/>
      <c r="DS141" s="41"/>
      <c r="DT141" s="41"/>
      <c r="DU141" s="41"/>
      <c r="DV141" s="345"/>
    </row>
    <row r="142" spans="1:126" ht="15" customHeight="1" x14ac:dyDescent="0.3">
      <c r="A142" s="1" t="str">
        <f t="shared" si="419"/>
        <v>ADIFSE</v>
      </c>
      <c r="B142" s="1" t="str">
        <f t="shared" si="420"/>
        <v>ADIFSE</v>
      </c>
      <c r="C142" s="1" t="str">
        <f t="shared" si="421"/>
        <v>MAY</v>
      </c>
      <c r="D142" s="41" t="s">
        <v>108</v>
      </c>
      <c r="E142" s="115" t="s">
        <v>174</v>
      </c>
      <c r="F142" s="116"/>
      <c r="G142" s="1"/>
      <c r="H142" s="32"/>
      <c r="I142" s="32"/>
      <c r="J142" s="32"/>
      <c r="K142" s="46"/>
      <c r="L142" s="55"/>
      <c r="M142" s="55"/>
      <c r="N142" s="55"/>
      <c r="O142" s="55"/>
      <c r="P142" s="55"/>
      <c r="Q142" s="56"/>
      <c r="R142" s="55"/>
      <c r="S142" s="55"/>
      <c r="T142" s="55"/>
      <c r="U142" s="55"/>
      <c r="V142" s="55"/>
      <c r="W142" s="57"/>
      <c r="X142" s="55"/>
      <c r="Y142" s="55"/>
      <c r="Z142" s="55"/>
      <c r="AA142" s="55"/>
      <c r="AB142" s="55"/>
      <c r="AC142" s="57"/>
      <c r="AD142" s="55"/>
      <c r="AE142" s="55"/>
      <c r="AF142" s="55"/>
      <c r="AG142" s="55"/>
      <c r="AH142" s="55"/>
      <c r="AI142" s="57"/>
      <c r="AJ142" s="55"/>
      <c r="AK142" s="55"/>
      <c r="AL142" s="55"/>
      <c r="AM142" s="55"/>
      <c r="AN142" s="55"/>
      <c r="AO142" s="57"/>
      <c r="AP142" s="55"/>
      <c r="AQ142" s="55"/>
      <c r="AR142" s="55"/>
      <c r="AS142" s="55"/>
      <c r="AT142" s="55"/>
      <c r="AU142" s="57"/>
      <c r="AV142" s="55"/>
      <c r="AW142" s="55"/>
      <c r="AX142" s="55"/>
      <c r="AY142" s="55"/>
      <c r="AZ142" s="55"/>
      <c r="BA142" s="57"/>
      <c r="BB142" s="55"/>
      <c r="BC142" s="55"/>
      <c r="BD142" s="55"/>
      <c r="BE142" s="55"/>
      <c r="BF142" s="55"/>
      <c r="BG142" s="57"/>
      <c r="BH142" s="55"/>
      <c r="BI142" s="55"/>
      <c r="BJ142" s="55"/>
      <c r="BK142" s="55"/>
      <c r="BL142" s="55"/>
      <c r="BM142" s="57"/>
      <c r="BN142" s="55"/>
      <c r="BO142" s="55"/>
      <c r="BP142" s="55"/>
      <c r="BQ142" s="55"/>
      <c r="BR142" s="55"/>
      <c r="BS142" s="57"/>
      <c r="BT142" s="55"/>
      <c r="BU142" s="55"/>
      <c r="BV142" s="55"/>
      <c r="BW142" s="55"/>
      <c r="BX142" s="55"/>
      <c r="BY142" s="57"/>
      <c r="BZ142" s="55"/>
      <c r="CA142" s="55"/>
      <c r="CB142" s="55"/>
      <c r="CC142" s="55"/>
      <c r="CD142" s="55"/>
      <c r="CE142" s="57"/>
      <c r="CF142" s="55"/>
      <c r="CG142" s="55"/>
      <c r="CH142" s="55"/>
      <c r="CI142" s="55"/>
      <c r="CJ142" s="55"/>
      <c r="CK142" s="57"/>
      <c r="CL142" s="56"/>
      <c r="CM142" s="56"/>
      <c r="CN142" s="56"/>
      <c r="CO142" s="56"/>
      <c r="CP142" s="56"/>
      <c r="CQ142" s="56"/>
      <c r="CR142" s="46"/>
      <c r="CS142" s="46"/>
      <c r="CT142" s="46"/>
      <c r="CU142" s="46"/>
      <c r="CV142" s="46"/>
      <c r="CW142" s="46"/>
      <c r="CX142" s="46"/>
      <c r="CY142" s="46"/>
      <c r="CZ142" s="46"/>
      <c r="DA142" s="46"/>
      <c r="DB142" s="46"/>
      <c r="DC142" s="48"/>
      <c r="DD142" s="39">
        <f>+HLOOKUP('Reporte Evolución Mensual'!$F$2-2,$CR$2:$DC$251, Input!$DG142, FALSE)</f>
        <v>31000000</v>
      </c>
      <c r="DE142" s="39">
        <f>+HLOOKUP('Reporte Evolución Mensual'!$F$2-1,$CR$2:$DC$251, Input!$DG142, FALSE)</f>
        <v>45380000</v>
      </c>
      <c r="DF142" s="39">
        <f>+HLOOKUP('Reporte Evolución Mensual'!$F$2,$CR$2:$DC$251, Input!$DG142, FALSE)</f>
        <v>41308000</v>
      </c>
      <c r="DG142" s="40">
        <f t="shared" si="422"/>
        <v>142</v>
      </c>
      <c r="DH142" s="39"/>
      <c r="DI142" s="39"/>
      <c r="DJ142" s="39"/>
      <c r="DK142" s="39"/>
      <c r="DL142" s="39"/>
      <c r="DM142" s="39"/>
      <c r="DN142" s="39"/>
      <c r="DO142" s="58"/>
      <c r="DP142" s="58"/>
      <c r="DQ142" s="58"/>
      <c r="DR142" s="58"/>
      <c r="DS142" s="41"/>
      <c r="DT142" s="41"/>
      <c r="DU142" s="41"/>
      <c r="DV142" s="345"/>
    </row>
    <row r="143" spans="1:126" ht="15" customHeight="1" x14ac:dyDescent="0.3">
      <c r="A143" s="1" t="str">
        <f t="shared" si="419"/>
        <v>ADIFSE</v>
      </c>
      <c r="B143" s="1" t="str">
        <f t="shared" si="420"/>
        <v>ADIFSE</v>
      </c>
      <c r="C143" s="1" t="str">
        <f t="shared" si="421"/>
        <v>MAY</v>
      </c>
      <c r="D143" s="41" t="s">
        <v>163</v>
      </c>
      <c r="E143" s="113" t="str">
        <f t="shared" ref="E143:E149" si="452">H143</f>
        <v>Transf. del la Adm. Nac. p/Gastos Corrientes</v>
      </c>
      <c r="F143" s="114" t="s">
        <v>175</v>
      </c>
      <c r="G143" s="1" t="s">
        <v>174</v>
      </c>
      <c r="H143" s="32" t="s">
        <v>176</v>
      </c>
      <c r="I143" s="32" t="s">
        <v>176</v>
      </c>
      <c r="J143" s="32" t="s">
        <v>289</v>
      </c>
      <c r="K143" s="38"/>
      <c r="L143" s="38">
        <v>50000000</v>
      </c>
      <c r="M143" s="51"/>
      <c r="N143" s="51"/>
      <c r="O143" s="51"/>
      <c r="P143" s="51"/>
      <c r="Q143" s="56">
        <f t="shared" ref="Q143:Q149" si="453">SUM(L143:P143)</f>
        <v>50000000</v>
      </c>
      <c r="R143" s="38">
        <v>44168000</v>
      </c>
      <c r="S143" s="51"/>
      <c r="T143" s="51"/>
      <c r="U143" s="51"/>
      <c r="V143" s="51"/>
      <c r="W143" s="56">
        <f t="shared" ref="W143:W148" si="454">SUM(R143:V143)</f>
        <v>44168000</v>
      </c>
      <c r="X143" s="38">
        <v>45380000</v>
      </c>
      <c r="Y143" s="51"/>
      <c r="Z143" s="51"/>
      <c r="AA143" s="51"/>
      <c r="AB143" s="51"/>
      <c r="AC143" s="56">
        <f t="shared" ref="AC143:AC148" si="455">SUM(X143:AB143)</f>
        <v>45380000</v>
      </c>
      <c r="AD143" s="38">
        <v>31000000</v>
      </c>
      <c r="AE143" s="51"/>
      <c r="AF143" s="51"/>
      <c r="AG143" s="51"/>
      <c r="AH143" s="51"/>
      <c r="AI143" s="56">
        <f t="shared" ref="AI143:AI148" si="456">SUM(AD143:AH143)</f>
        <v>31000000</v>
      </c>
      <c r="AJ143" s="38">
        <v>45380000</v>
      </c>
      <c r="AK143" s="51"/>
      <c r="AL143" s="51"/>
      <c r="AM143" s="51"/>
      <c r="AN143" s="51"/>
      <c r="AO143" s="56">
        <f t="shared" ref="AO143:AO148" si="457">SUM(AJ143:AN143)</f>
        <v>45380000</v>
      </c>
      <c r="AP143" s="38">
        <v>41308000</v>
      </c>
      <c r="AQ143" s="51"/>
      <c r="AR143" s="51"/>
      <c r="AS143" s="51"/>
      <c r="AT143" s="51"/>
      <c r="AU143" s="56">
        <f t="shared" ref="AU143:AU148" si="458">SUM(AP143:AT143)</f>
        <v>41308000</v>
      </c>
      <c r="AV143" s="38"/>
      <c r="AW143" s="51"/>
      <c r="AX143" s="51"/>
      <c r="AY143" s="51"/>
      <c r="AZ143" s="51"/>
      <c r="BA143" s="56">
        <f t="shared" ref="BA143:BA148" si="459">SUM(AV143:AZ143)</f>
        <v>0</v>
      </c>
      <c r="BB143" s="38"/>
      <c r="BC143" s="51"/>
      <c r="BD143" s="51"/>
      <c r="BE143" s="51"/>
      <c r="BF143" s="51"/>
      <c r="BG143" s="56">
        <f t="shared" ref="BG143:BG148" si="460">SUM(BB143:BF143)</f>
        <v>0</v>
      </c>
      <c r="BH143" s="38"/>
      <c r="BI143" s="51"/>
      <c r="BJ143" s="51"/>
      <c r="BK143" s="51"/>
      <c r="BL143" s="51"/>
      <c r="BM143" s="56">
        <f t="shared" ref="BM143:BM148" si="461">SUM(BH143:BL143)</f>
        <v>0</v>
      </c>
      <c r="BN143" s="38"/>
      <c r="BO143" s="51"/>
      <c r="BP143" s="51"/>
      <c r="BQ143" s="51"/>
      <c r="BR143" s="51"/>
      <c r="BS143" s="56">
        <f t="shared" ref="BS143:BS148" si="462">SUM(BN143:BR143)</f>
        <v>0</v>
      </c>
      <c r="BT143" s="38"/>
      <c r="BU143" s="51">
        <v>0</v>
      </c>
      <c r="BV143" s="51"/>
      <c r="BW143" s="51"/>
      <c r="BX143" s="51"/>
      <c r="BY143" s="56">
        <f t="shared" ref="BY143:BY148" si="463">SUM(BT143:BX143)</f>
        <v>0</v>
      </c>
      <c r="BZ143" s="38"/>
      <c r="CA143" s="51"/>
      <c r="CB143" s="51"/>
      <c r="CC143" s="51"/>
      <c r="CD143" s="51"/>
      <c r="CE143" s="56">
        <f t="shared" ref="CE143:CE148" si="464">SUM(BZ143:CD143)</f>
        <v>0</v>
      </c>
      <c r="CF143" s="38"/>
      <c r="CG143" s="51"/>
      <c r="CH143" s="51"/>
      <c r="CI143" s="51"/>
      <c r="CJ143" s="51"/>
      <c r="CK143" s="56">
        <f t="shared" ref="CK143:CK148" si="465">SUM(CF143:CJ143)</f>
        <v>0</v>
      </c>
      <c r="CL143" s="56">
        <f t="shared" ref="CL143:CQ150" si="466">+R143+X143+AD143+AJ143+AP143+AV143+BB143+BH143+BN143+BT143+BZ143+CF143</f>
        <v>207236000</v>
      </c>
      <c r="CM143" s="56">
        <f t="shared" si="466"/>
        <v>0</v>
      </c>
      <c r="CN143" s="56">
        <f t="shared" si="466"/>
        <v>0</v>
      </c>
      <c r="CO143" s="56">
        <f t="shared" si="466"/>
        <v>0</v>
      </c>
      <c r="CP143" s="56">
        <f t="shared" si="466"/>
        <v>0</v>
      </c>
      <c r="CQ143" s="56">
        <f t="shared" si="466"/>
        <v>207236000</v>
      </c>
      <c r="CR143" s="37">
        <f t="shared" ref="CR143:CR150" si="467">+W143</f>
        <v>44168000</v>
      </c>
      <c r="CS143" s="39">
        <f t="shared" ref="CS143:CS150" si="468">+AC143</f>
        <v>45380000</v>
      </c>
      <c r="CT143" s="53">
        <f t="shared" ref="CT143:CT150" si="469">+AI143</f>
        <v>31000000</v>
      </c>
      <c r="CU143" s="39">
        <f t="shared" ref="CU143:CU150" si="470">+AO143</f>
        <v>45380000</v>
      </c>
      <c r="CV143" s="39">
        <f t="shared" ref="CV143:CV150" si="471">+AU143</f>
        <v>41308000</v>
      </c>
      <c r="CW143" s="39">
        <f t="shared" ref="CW143:CW150" si="472">+BA143</f>
        <v>0</v>
      </c>
      <c r="CX143" s="39">
        <f t="shared" ref="CX143:CX150" si="473">+BG143</f>
        <v>0</v>
      </c>
      <c r="CY143" s="39">
        <f t="shared" ref="CY143:CY150" si="474">+BM143</f>
        <v>0</v>
      </c>
      <c r="CZ143" s="39">
        <f t="shared" ref="CZ143:CZ150" si="475">+BS143</f>
        <v>0</v>
      </c>
      <c r="DA143" s="39">
        <f t="shared" ref="DA143:DA150" si="476">+BY143</f>
        <v>0</v>
      </c>
      <c r="DB143" s="39">
        <f t="shared" ref="DB143:DB150" si="477">+CE143</f>
        <v>0</v>
      </c>
      <c r="DC143" s="39">
        <f t="shared" ref="DC143:DC150" si="478">+CK143</f>
        <v>0</v>
      </c>
      <c r="DD143" s="39">
        <f>+HLOOKUP('Reporte Evolución Mensual'!$F$2-2,$CR$2:$DC$251, Input!$DG143, FALSE)</f>
        <v>438225000</v>
      </c>
      <c r="DE143" s="39">
        <f>+HLOOKUP('Reporte Evolución Mensual'!$F$2-1,$CR$2:$DC$251, Input!$DG143, FALSE)</f>
        <v>0</v>
      </c>
      <c r="DF143" s="39">
        <f>+HLOOKUP('Reporte Evolución Mensual'!$F$2,$CR$2:$DC$251, Input!$DG143, FALSE)</f>
        <v>300000000</v>
      </c>
      <c r="DG143" s="40">
        <f t="shared" si="422"/>
        <v>143</v>
      </c>
      <c r="DH143" s="39"/>
      <c r="DI143" s="39"/>
      <c r="DJ143" s="39"/>
      <c r="DK143" s="39"/>
      <c r="DL143" s="39"/>
      <c r="DM143" s="39"/>
      <c r="DN143" s="39"/>
      <c r="DO143" s="58"/>
      <c r="DP143" s="58"/>
      <c r="DQ143" s="58"/>
      <c r="DR143" s="58"/>
      <c r="DS143" s="41"/>
      <c r="DT143" s="41"/>
      <c r="DU143" s="41"/>
      <c r="DV143" s="345"/>
    </row>
    <row r="144" spans="1:126" ht="15" customHeight="1" x14ac:dyDescent="0.3">
      <c r="A144" s="1" t="str">
        <f t="shared" si="419"/>
        <v>ADIFSE</v>
      </c>
      <c r="B144" s="1" t="str">
        <f t="shared" si="420"/>
        <v>ADIFSE</v>
      </c>
      <c r="C144" s="1" t="str">
        <f t="shared" si="421"/>
        <v>MAY</v>
      </c>
      <c r="D144" s="41" t="s">
        <v>163</v>
      </c>
      <c r="E144" s="113" t="str">
        <f t="shared" si="452"/>
        <v>Transf. del la Adm. Nac. p/Gastos de Capital</v>
      </c>
      <c r="F144" s="114" t="s">
        <v>177</v>
      </c>
      <c r="G144" s="1" t="s">
        <v>174</v>
      </c>
      <c r="H144" s="32" t="s">
        <v>178</v>
      </c>
      <c r="I144" s="32" t="s">
        <v>178</v>
      </c>
      <c r="J144" s="32" t="s">
        <v>289</v>
      </c>
      <c r="K144" s="38"/>
      <c r="L144" s="38">
        <v>45000000</v>
      </c>
      <c r="M144" s="51"/>
      <c r="N144" s="51"/>
      <c r="O144" s="51"/>
      <c r="P144" s="51"/>
      <c r="Q144" s="56">
        <f t="shared" si="453"/>
        <v>45000000</v>
      </c>
      <c r="R144" s="38"/>
      <c r="S144" s="51"/>
      <c r="T144" s="51"/>
      <c r="U144" s="51"/>
      <c r="V144" s="51"/>
      <c r="W144" s="56">
        <f t="shared" si="454"/>
        <v>0</v>
      </c>
      <c r="X144" s="448">
        <v>438225000</v>
      </c>
      <c r="Y144" s="51"/>
      <c r="Z144" s="51"/>
      <c r="AA144" s="51"/>
      <c r="AB144" s="51"/>
      <c r="AC144" s="56">
        <f t="shared" si="455"/>
        <v>438225000</v>
      </c>
      <c r="AD144" s="38">
        <v>438225000</v>
      </c>
      <c r="AE144" s="51"/>
      <c r="AF144" s="51"/>
      <c r="AG144" s="51"/>
      <c r="AH144" s="51"/>
      <c r="AI144" s="56">
        <f t="shared" si="456"/>
        <v>438225000</v>
      </c>
      <c r="AJ144" s="38">
        <f>292150000*0</f>
        <v>0</v>
      </c>
      <c r="AK144" s="51"/>
      <c r="AL144" s="51"/>
      <c r="AM144" s="51"/>
      <c r="AN144" s="51"/>
      <c r="AO144" s="56">
        <f t="shared" si="457"/>
        <v>0</v>
      </c>
      <c r="AP144" s="38">
        <v>300000000</v>
      </c>
      <c r="AQ144" s="51"/>
      <c r="AR144" s="51"/>
      <c r="AS144" s="51"/>
      <c r="AT144" s="51"/>
      <c r="AU144" s="56">
        <f t="shared" si="458"/>
        <v>300000000</v>
      </c>
      <c r="AV144" s="38"/>
      <c r="AW144" s="51"/>
      <c r="AX144" s="51"/>
      <c r="AY144" s="51"/>
      <c r="AZ144" s="51"/>
      <c r="BA144" s="56">
        <f t="shared" si="459"/>
        <v>0</v>
      </c>
      <c r="BB144" s="38"/>
      <c r="BC144" s="51"/>
      <c r="BD144" s="51"/>
      <c r="BE144" s="51"/>
      <c r="BF144" s="51"/>
      <c r="BG144" s="56">
        <f t="shared" si="460"/>
        <v>0</v>
      </c>
      <c r="BH144" s="38"/>
      <c r="BI144" s="51"/>
      <c r="BJ144" s="51"/>
      <c r="BK144" s="51"/>
      <c r="BL144" s="51"/>
      <c r="BM144" s="56">
        <f t="shared" si="461"/>
        <v>0</v>
      </c>
      <c r="BN144" s="38"/>
      <c r="BO144" s="51"/>
      <c r="BP144" s="51"/>
      <c r="BQ144" s="51"/>
      <c r="BR144" s="51"/>
      <c r="BS144" s="56">
        <f t="shared" si="462"/>
        <v>0</v>
      </c>
      <c r="BT144" s="38"/>
      <c r="BU144" s="51"/>
      <c r="BV144" s="51"/>
      <c r="BW144" s="51"/>
      <c r="BX144" s="51"/>
      <c r="BY144" s="56">
        <f t="shared" si="463"/>
        <v>0</v>
      </c>
      <c r="BZ144" s="38"/>
      <c r="CA144" s="51"/>
      <c r="CB144" s="51"/>
      <c r="CC144" s="51"/>
      <c r="CD144" s="51"/>
      <c r="CE144" s="56">
        <f t="shared" si="464"/>
        <v>0</v>
      </c>
      <c r="CF144" s="38"/>
      <c r="CG144" s="51"/>
      <c r="CH144" s="51"/>
      <c r="CI144" s="51"/>
      <c r="CJ144" s="51"/>
      <c r="CK144" s="56">
        <f t="shared" si="465"/>
        <v>0</v>
      </c>
      <c r="CL144" s="56">
        <f t="shared" si="466"/>
        <v>1176450000</v>
      </c>
      <c r="CM144" s="56">
        <f t="shared" si="466"/>
        <v>0</v>
      </c>
      <c r="CN144" s="56">
        <f t="shared" si="466"/>
        <v>0</v>
      </c>
      <c r="CO144" s="56">
        <f t="shared" si="466"/>
        <v>0</v>
      </c>
      <c r="CP144" s="56">
        <f t="shared" si="466"/>
        <v>0</v>
      </c>
      <c r="CQ144" s="56">
        <f t="shared" si="466"/>
        <v>1176450000</v>
      </c>
      <c r="CR144" s="37">
        <f t="shared" si="467"/>
        <v>0</v>
      </c>
      <c r="CS144" s="39">
        <f t="shared" si="468"/>
        <v>438225000</v>
      </c>
      <c r="CT144" s="53">
        <f t="shared" si="469"/>
        <v>438225000</v>
      </c>
      <c r="CU144" s="39">
        <f t="shared" si="470"/>
        <v>0</v>
      </c>
      <c r="CV144" s="39">
        <f t="shared" si="471"/>
        <v>300000000</v>
      </c>
      <c r="CW144" s="39">
        <f t="shared" si="472"/>
        <v>0</v>
      </c>
      <c r="CX144" s="39">
        <f t="shared" si="473"/>
        <v>0</v>
      </c>
      <c r="CY144" s="39">
        <f t="shared" si="474"/>
        <v>0</v>
      </c>
      <c r="CZ144" s="39">
        <f t="shared" si="475"/>
        <v>0</v>
      </c>
      <c r="DA144" s="39">
        <f t="shared" si="476"/>
        <v>0</v>
      </c>
      <c r="DB144" s="39">
        <f t="shared" si="477"/>
        <v>0</v>
      </c>
      <c r="DC144" s="39">
        <f t="shared" si="478"/>
        <v>0</v>
      </c>
      <c r="DD144" s="39">
        <f>+HLOOKUP('Reporte Evolución Mensual'!$F$2-2,$CR$2:$DC$251, Input!$DG144, FALSE)</f>
        <v>15000000</v>
      </c>
      <c r="DE144" s="39">
        <f>+HLOOKUP('Reporte Evolución Mensual'!$F$2-1,$CR$2:$DC$251, Input!$DG144, FALSE)</f>
        <v>0</v>
      </c>
      <c r="DF144" s="39">
        <f>+HLOOKUP('Reporte Evolución Mensual'!$F$2,$CR$2:$DC$251, Input!$DG144, FALSE)</f>
        <v>0</v>
      </c>
      <c r="DG144" s="40">
        <f t="shared" si="422"/>
        <v>144</v>
      </c>
      <c r="DH144" s="39"/>
      <c r="DI144" s="39"/>
      <c r="DJ144" s="39"/>
      <c r="DK144" s="39"/>
      <c r="DL144" s="39"/>
      <c r="DM144" s="39"/>
      <c r="DN144" s="39"/>
      <c r="DO144" s="58"/>
      <c r="DP144" s="58"/>
      <c r="DQ144" s="58"/>
      <c r="DR144" s="58"/>
      <c r="DS144" s="41"/>
      <c r="DT144" s="41"/>
      <c r="DU144" s="41"/>
      <c r="DV144" s="345" t="s">
        <v>163</v>
      </c>
    </row>
    <row r="145" spans="1:126" ht="15" customHeight="1" x14ac:dyDescent="0.3">
      <c r="A145" s="1" t="str">
        <f t="shared" si="419"/>
        <v>ADIFSE</v>
      </c>
      <c r="B145" s="1" t="str">
        <f t="shared" si="420"/>
        <v>ADIFSE</v>
      </c>
      <c r="C145" s="1" t="str">
        <f t="shared" si="421"/>
        <v>MAY</v>
      </c>
      <c r="D145" s="41" t="s">
        <v>163</v>
      </c>
      <c r="E145" s="113" t="str">
        <f t="shared" si="452"/>
        <v>Otras Transf. del Est. Nac. p/ Gastos Corrientes</v>
      </c>
      <c r="F145" s="114" t="s">
        <v>179</v>
      </c>
      <c r="G145" s="1" t="s">
        <v>174</v>
      </c>
      <c r="H145" s="32" t="s">
        <v>180</v>
      </c>
      <c r="I145" s="32" t="s">
        <v>180</v>
      </c>
      <c r="J145" s="32" t="s">
        <v>289</v>
      </c>
      <c r="K145" s="38"/>
      <c r="L145" s="51"/>
      <c r="M145" s="51"/>
      <c r="N145" s="51"/>
      <c r="O145" s="51"/>
      <c r="P145" s="51"/>
      <c r="Q145" s="56">
        <f t="shared" si="453"/>
        <v>0</v>
      </c>
      <c r="R145" s="51"/>
      <c r="S145" s="51"/>
      <c r="T145" s="51"/>
      <c r="U145" s="51"/>
      <c r="V145" s="51"/>
      <c r="W145" s="56">
        <f t="shared" si="454"/>
        <v>0</v>
      </c>
      <c r="X145" s="51"/>
      <c r="Y145" s="51"/>
      <c r="Z145" s="51"/>
      <c r="AA145" s="448">
        <v>15000000</v>
      </c>
      <c r="AB145" s="51"/>
      <c r="AC145" s="56">
        <f t="shared" si="455"/>
        <v>15000000</v>
      </c>
      <c r="AD145" s="51"/>
      <c r="AE145" s="51"/>
      <c r="AF145" s="51"/>
      <c r="AG145" s="448">
        <v>15000000</v>
      </c>
      <c r="AH145" s="51"/>
      <c r="AI145" s="56">
        <f t="shared" si="456"/>
        <v>15000000</v>
      </c>
      <c r="AJ145" s="51"/>
      <c r="AK145" s="51"/>
      <c r="AL145" s="51"/>
      <c r="AM145" s="51"/>
      <c r="AN145" s="51"/>
      <c r="AO145" s="56">
        <f t="shared" si="457"/>
        <v>0</v>
      </c>
      <c r="AP145" s="51"/>
      <c r="AQ145" s="51"/>
      <c r="AR145" s="51"/>
      <c r="AS145" s="51"/>
      <c r="AT145" s="51"/>
      <c r="AU145" s="56">
        <f t="shared" si="458"/>
        <v>0</v>
      </c>
      <c r="AV145" s="51"/>
      <c r="AW145" s="51"/>
      <c r="AX145" s="51"/>
      <c r="AY145" s="51"/>
      <c r="AZ145" s="51"/>
      <c r="BA145" s="56">
        <f t="shared" si="459"/>
        <v>0</v>
      </c>
      <c r="BB145" s="51"/>
      <c r="BC145" s="51"/>
      <c r="BD145" s="51"/>
      <c r="BE145" s="51"/>
      <c r="BF145" s="51"/>
      <c r="BG145" s="56">
        <f t="shared" si="460"/>
        <v>0</v>
      </c>
      <c r="BH145" s="51"/>
      <c r="BI145" s="51"/>
      <c r="BJ145" s="51"/>
      <c r="BK145" s="51"/>
      <c r="BL145" s="51"/>
      <c r="BM145" s="56">
        <f t="shared" si="461"/>
        <v>0</v>
      </c>
      <c r="BN145" s="51"/>
      <c r="BO145" s="51"/>
      <c r="BP145" s="51"/>
      <c r="BQ145" s="51"/>
      <c r="BR145" s="51"/>
      <c r="BS145" s="56">
        <f t="shared" si="462"/>
        <v>0</v>
      </c>
      <c r="BT145" s="51"/>
      <c r="BU145" s="51"/>
      <c r="BV145" s="51"/>
      <c r="BW145" s="51"/>
      <c r="BX145" s="51"/>
      <c r="BY145" s="56">
        <f t="shared" si="463"/>
        <v>0</v>
      </c>
      <c r="BZ145" s="51"/>
      <c r="CA145" s="51"/>
      <c r="CB145" s="51"/>
      <c r="CC145" s="51"/>
      <c r="CD145" s="51"/>
      <c r="CE145" s="56">
        <f t="shared" si="464"/>
        <v>0</v>
      </c>
      <c r="CF145" s="51"/>
      <c r="CG145" s="51"/>
      <c r="CH145" s="51"/>
      <c r="CI145" s="51"/>
      <c r="CJ145" s="51"/>
      <c r="CK145" s="56">
        <f t="shared" si="465"/>
        <v>0</v>
      </c>
      <c r="CL145" s="56">
        <f t="shared" si="466"/>
        <v>0</v>
      </c>
      <c r="CM145" s="56">
        <f t="shared" si="466"/>
        <v>0</v>
      </c>
      <c r="CN145" s="56">
        <f t="shared" si="466"/>
        <v>0</v>
      </c>
      <c r="CO145" s="56">
        <f t="shared" si="466"/>
        <v>30000000</v>
      </c>
      <c r="CP145" s="56">
        <f t="shared" si="466"/>
        <v>0</v>
      </c>
      <c r="CQ145" s="56">
        <f t="shared" si="466"/>
        <v>30000000</v>
      </c>
      <c r="CR145" s="37">
        <f t="shared" si="467"/>
        <v>0</v>
      </c>
      <c r="CS145" s="39">
        <f t="shared" si="468"/>
        <v>15000000</v>
      </c>
      <c r="CT145" s="53">
        <f t="shared" si="469"/>
        <v>15000000</v>
      </c>
      <c r="CU145" s="39">
        <f t="shared" si="470"/>
        <v>0</v>
      </c>
      <c r="CV145" s="39">
        <f t="shared" si="471"/>
        <v>0</v>
      </c>
      <c r="CW145" s="39">
        <f t="shared" si="472"/>
        <v>0</v>
      </c>
      <c r="CX145" s="39">
        <f t="shared" si="473"/>
        <v>0</v>
      </c>
      <c r="CY145" s="39">
        <f t="shared" si="474"/>
        <v>0</v>
      </c>
      <c r="CZ145" s="39">
        <f t="shared" si="475"/>
        <v>0</v>
      </c>
      <c r="DA145" s="39">
        <f t="shared" si="476"/>
        <v>0</v>
      </c>
      <c r="DB145" s="39">
        <f t="shared" si="477"/>
        <v>0</v>
      </c>
      <c r="DC145" s="39">
        <f t="shared" si="478"/>
        <v>0</v>
      </c>
      <c r="DD145" s="39">
        <f>+HLOOKUP('Reporte Evolución Mensual'!$F$2-2,$CR$2:$DC$251, Input!$DG145, FALSE)</f>
        <v>200000000</v>
      </c>
      <c r="DE145" s="39">
        <f>+HLOOKUP('Reporte Evolución Mensual'!$F$2-1,$CR$2:$DC$251, Input!$DG145, FALSE)</f>
        <v>150000000</v>
      </c>
      <c r="DF145" s="39">
        <f>+HLOOKUP('Reporte Evolución Mensual'!$F$2,$CR$2:$DC$251, Input!$DG145, FALSE)</f>
        <v>150000000</v>
      </c>
      <c r="DG145" s="40">
        <f t="shared" si="422"/>
        <v>145</v>
      </c>
      <c r="DH145" s="39"/>
      <c r="DI145" s="39"/>
      <c r="DJ145" s="39"/>
      <c r="DK145" s="39"/>
      <c r="DL145" s="39"/>
      <c r="DM145" s="39"/>
      <c r="DN145" s="39"/>
      <c r="DO145" s="58"/>
      <c r="DP145" s="58"/>
      <c r="DQ145" s="58"/>
      <c r="DR145" s="58"/>
      <c r="DS145" s="41"/>
      <c r="DT145" s="41"/>
      <c r="DU145" s="41"/>
      <c r="DV145" s="345" t="s">
        <v>163</v>
      </c>
    </row>
    <row r="146" spans="1:126" ht="15" customHeight="1" x14ac:dyDescent="0.3">
      <c r="A146" s="1" t="str">
        <f t="shared" si="419"/>
        <v>ADIFSE</v>
      </c>
      <c r="B146" s="1" t="str">
        <f t="shared" si="420"/>
        <v>ADIFSE</v>
      </c>
      <c r="C146" s="1" t="str">
        <f t="shared" si="421"/>
        <v>MAY</v>
      </c>
      <c r="D146" s="41" t="s">
        <v>163</v>
      </c>
      <c r="E146" s="113" t="str">
        <f t="shared" si="452"/>
        <v>Otras Transf. del Est. Nac. p/ Gastos de Capital</v>
      </c>
      <c r="F146" s="114" t="s">
        <v>181</v>
      </c>
      <c r="G146" s="1" t="s">
        <v>174</v>
      </c>
      <c r="H146" s="32" t="s">
        <v>182</v>
      </c>
      <c r="I146" s="32" t="s">
        <v>182</v>
      </c>
      <c r="J146" s="32" t="s">
        <v>289</v>
      </c>
      <c r="K146" s="38"/>
      <c r="L146" s="51"/>
      <c r="M146" s="51"/>
      <c r="N146" s="51"/>
      <c r="O146" s="51"/>
      <c r="P146" s="51"/>
      <c r="Q146" s="56">
        <f t="shared" si="453"/>
        <v>0</v>
      </c>
      <c r="R146" s="51"/>
      <c r="S146" s="51"/>
      <c r="T146" s="51"/>
      <c r="U146" s="51"/>
      <c r="V146" s="51"/>
      <c r="W146" s="56">
        <f t="shared" si="454"/>
        <v>0</v>
      </c>
      <c r="X146" s="51"/>
      <c r="Y146" s="51"/>
      <c r="Z146" s="51"/>
      <c r="AA146" s="448">
        <v>200000000</v>
      </c>
      <c r="AB146" s="51"/>
      <c r="AC146" s="56">
        <f t="shared" si="455"/>
        <v>200000000</v>
      </c>
      <c r="AD146" s="51"/>
      <c r="AE146" s="51"/>
      <c r="AF146" s="51"/>
      <c r="AG146" s="448">
        <v>200000000</v>
      </c>
      <c r="AH146" s="51"/>
      <c r="AI146" s="56">
        <f t="shared" si="456"/>
        <v>200000000</v>
      </c>
      <c r="AJ146" s="51"/>
      <c r="AK146" s="51"/>
      <c r="AL146" s="51"/>
      <c r="AM146" s="51">
        <v>150000000</v>
      </c>
      <c r="AN146" s="51"/>
      <c r="AO146" s="56">
        <f t="shared" si="457"/>
        <v>150000000</v>
      </c>
      <c r="AP146" s="51"/>
      <c r="AQ146" s="51"/>
      <c r="AR146" s="51"/>
      <c r="AS146" s="51">
        <v>150000000</v>
      </c>
      <c r="AT146" s="51"/>
      <c r="AU146" s="56">
        <f t="shared" si="458"/>
        <v>150000000</v>
      </c>
      <c r="AV146" s="51"/>
      <c r="AW146" s="51"/>
      <c r="AX146" s="51"/>
      <c r="AY146" s="51"/>
      <c r="AZ146" s="51"/>
      <c r="BA146" s="56">
        <f t="shared" si="459"/>
        <v>0</v>
      </c>
      <c r="BB146" s="51"/>
      <c r="BC146" s="51"/>
      <c r="BD146" s="51"/>
      <c r="BE146" s="51"/>
      <c r="BF146" s="51"/>
      <c r="BG146" s="56">
        <f t="shared" si="460"/>
        <v>0</v>
      </c>
      <c r="BH146" s="51"/>
      <c r="BI146" s="51"/>
      <c r="BJ146" s="51"/>
      <c r="BK146" s="51"/>
      <c r="BL146" s="51"/>
      <c r="BM146" s="56">
        <f t="shared" si="461"/>
        <v>0</v>
      </c>
      <c r="BN146" s="51"/>
      <c r="BO146" s="51"/>
      <c r="BP146" s="51"/>
      <c r="BQ146" s="51"/>
      <c r="BR146" s="51"/>
      <c r="BS146" s="56">
        <f t="shared" si="462"/>
        <v>0</v>
      </c>
      <c r="BT146" s="51"/>
      <c r="BU146" s="51"/>
      <c r="BV146" s="51"/>
      <c r="BW146" s="51"/>
      <c r="BX146" s="51"/>
      <c r="BY146" s="56">
        <f t="shared" si="463"/>
        <v>0</v>
      </c>
      <c r="BZ146" s="51"/>
      <c r="CA146" s="51"/>
      <c r="CB146" s="51"/>
      <c r="CC146" s="51"/>
      <c r="CD146" s="51"/>
      <c r="CE146" s="56">
        <f t="shared" si="464"/>
        <v>0</v>
      </c>
      <c r="CF146" s="51"/>
      <c r="CG146" s="51"/>
      <c r="CH146" s="51"/>
      <c r="CI146" s="51"/>
      <c r="CJ146" s="51"/>
      <c r="CK146" s="56">
        <f t="shared" si="465"/>
        <v>0</v>
      </c>
      <c r="CL146" s="56">
        <f t="shared" si="466"/>
        <v>0</v>
      </c>
      <c r="CM146" s="56">
        <f t="shared" si="466"/>
        <v>0</v>
      </c>
      <c r="CN146" s="56">
        <f t="shared" si="466"/>
        <v>0</v>
      </c>
      <c r="CO146" s="56">
        <f t="shared" si="466"/>
        <v>700000000</v>
      </c>
      <c r="CP146" s="56">
        <f t="shared" si="466"/>
        <v>0</v>
      </c>
      <c r="CQ146" s="56">
        <f t="shared" si="466"/>
        <v>700000000</v>
      </c>
      <c r="CR146" s="37">
        <f t="shared" si="467"/>
        <v>0</v>
      </c>
      <c r="CS146" s="39">
        <f t="shared" si="468"/>
        <v>200000000</v>
      </c>
      <c r="CT146" s="53">
        <f t="shared" si="469"/>
        <v>200000000</v>
      </c>
      <c r="CU146" s="39">
        <f t="shared" si="470"/>
        <v>150000000</v>
      </c>
      <c r="CV146" s="39">
        <f t="shared" si="471"/>
        <v>150000000</v>
      </c>
      <c r="CW146" s="39">
        <f t="shared" si="472"/>
        <v>0</v>
      </c>
      <c r="CX146" s="39">
        <f t="shared" si="473"/>
        <v>0</v>
      </c>
      <c r="CY146" s="39">
        <f t="shared" si="474"/>
        <v>0</v>
      </c>
      <c r="CZ146" s="39">
        <f t="shared" si="475"/>
        <v>0</v>
      </c>
      <c r="DA146" s="39">
        <f t="shared" si="476"/>
        <v>0</v>
      </c>
      <c r="DB146" s="39">
        <f t="shared" si="477"/>
        <v>0</v>
      </c>
      <c r="DC146" s="39">
        <f t="shared" si="478"/>
        <v>0</v>
      </c>
      <c r="DD146" s="39">
        <f>+HLOOKUP('Reporte Evolución Mensual'!$F$2-2,$CR$2:$DC$251, Input!$DG146, FALSE)</f>
        <v>117226139</v>
      </c>
      <c r="DE146" s="39">
        <f>+HLOOKUP('Reporte Evolución Mensual'!$F$2-1,$CR$2:$DC$251, Input!$DG146, FALSE)</f>
        <v>0</v>
      </c>
      <c r="DF146" s="39">
        <f>+HLOOKUP('Reporte Evolución Mensual'!$F$2,$CR$2:$DC$251, Input!$DG146, FALSE)</f>
        <v>0</v>
      </c>
      <c r="DG146" s="40">
        <f t="shared" ref="DG146:DG209" si="479">+DG145+1</f>
        <v>146</v>
      </c>
      <c r="DH146" s="39"/>
      <c r="DI146" s="39"/>
      <c r="DJ146" s="39"/>
      <c r="DK146" s="39"/>
      <c r="DL146" s="39"/>
      <c r="DM146" s="39"/>
      <c r="DN146" s="39"/>
      <c r="DO146" s="58"/>
      <c r="DP146" s="58"/>
      <c r="DQ146" s="58"/>
      <c r="DR146" s="58"/>
      <c r="DS146" s="41"/>
      <c r="DT146" s="41"/>
      <c r="DU146" s="41"/>
      <c r="DV146" s="345" t="s">
        <v>163</v>
      </c>
    </row>
    <row r="147" spans="1:126" ht="15" customHeight="1" x14ac:dyDescent="0.3">
      <c r="A147" s="1" t="str">
        <f t="shared" si="419"/>
        <v>ADIFSE</v>
      </c>
      <c r="B147" s="1" t="str">
        <f t="shared" si="420"/>
        <v>ADIFSE</v>
      </c>
      <c r="C147" s="1" t="str">
        <f t="shared" si="421"/>
        <v>MAY</v>
      </c>
      <c r="D147" s="41" t="s">
        <v>163</v>
      </c>
      <c r="E147" s="113" t="str">
        <f t="shared" si="452"/>
        <v xml:space="preserve">Transf. del Sector Privado </v>
      </c>
      <c r="F147" s="114" t="s">
        <v>183</v>
      </c>
      <c r="G147" s="1" t="s">
        <v>174</v>
      </c>
      <c r="H147" s="32" t="s">
        <v>184</v>
      </c>
      <c r="I147" s="32" t="s">
        <v>184</v>
      </c>
      <c r="J147" s="32" t="s">
        <v>289</v>
      </c>
      <c r="K147" s="38"/>
      <c r="L147" s="51"/>
      <c r="M147" s="51"/>
      <c r="N147" s="51"/>
      <c r="O147" s="51"/>
      <c r="P147" s="51"/>
      <c r="Q147" s="56">
        <f t="shared" si="453"/>
        <v>0</v>
      </c>
      <c r="R147" s="51"/>
      <c r="S147" s="51"/>
      <c r="T147" s="51"/>
      <c r="U147" s="51"/>
      <c r="V147" s="51"/>
      <c r="W147" s="56">
        <f t="shared" si="454"/>
        <v>0</v>
      </c>
      <c r="X147" s="51"/>
      <c r="Y147" s="51"/>
      <c r="Z147" s="51"/>
      <c r="AA147" s="51"/>
      <c r="AB147" s="452">
        <v>0</v>
      </c>
      <c r="AC147" s="56">
        <f t="shared" si="455"/>
        <v>0</v>
      </c>
      <c r="AD147" s="51"/>
      <c r="AE147" s="51"/>
      <c r="AF147" s="51"/>
      <c r="AG147" s="51"/>
      <c r="AH147" s="51">
        <v>117226139</v>
      </c>
      <c r="AI147" s="56">
        <f t="shared" si="456"/>
        <v>117226139</v>
      </c>
      <c r="AJ147" s="51"/>
      <c r="AK147" s="51"/>
      <c r="AL147" s="51"/>
      <c r="AM147" s="51"/>
      <c r="AN147" s="51"/>
      <c r="AO147" s="56">
        <f t="shared" si="457"/>
        <v>0</v>
      </c>
      <c r="AP147" s="51"/>
      <c r="AQ147" s="51"/>
      <c r="AR147" s="51"/>
      <c r="AS147" s="51"/>
      <c r="AT147" s="51"/>
      <c r="AU147" s="56">
        <f t="shared" si="458"/>
        <v>0</v>
      </c>
      <c r="AV147" s="51"/>
      <c r="AW147" s="51"/>
      <c r="AX147" s="51"/>
      <c r="AY147" s="51"/>
      <c r="AZ147" s="51"/>
      <c r="BA147" s="56">
        <f t="shared" si="459"/>
        <v>0</v>
      </c>
      <c r="BB147" s="51"/>
      <c r="BC147" s="51"/>
      <c r="BD147" s="51"/>
      <c r="BE147" s="51"/>
      <c r="BF147" s="51"/>
      <c r="BG147" s="56">
        <f t="shared" si="460"/>
        <v>0</v>
      </c>
      <c r="BH147" s="51"/>
      <c r="BI147" s="51"/>
      <c r="BJ147" s="51"/>
      <c r="BK147" s="51"/>
      <c r="BL147" s="51"/>
      <c r="BM147" s="56">
        <f t="shared" si="461"/>
        <v>0</v>
      </c>
      <c r="BN147" s="51"/>
      <c r="BO147" s="51"/>
      <c r="BP147" s="51"/>
      <c r="BQ147" s="51"/>
      <c r="BR147" s="51"/>
      <c r="BS147" s="56">
        <f t="shared" si="462"/>
        <v>0</v>
      </c>
      <c r="BT147" s="51"/>
      <c r="BU147" s="51"/>
      <c r="BV147" s="51"/>
      <c r="BW147" s="51"/>
      <c r="BX147" s="51"/>
      <c r="BY147" s="56">
        <f t="shared" si="463"/>
        <v>0</v>
      </c>
      <c r="BZ147" s="51"/>
      <c r="CA147" s="51"/>
      <c r="CB147" s="51"/>
      <c r="CC147" s="51"/>
      <c r="CD147" s="51"/>
      <c r="CE147" s="56">
        <f t="shared" si="464"/>
        <v>0</v>
      </c>
      <c r="CF147" s="51"/>
      <c r="CG147" s="51"/>
      <c r="CH147" s="51"/>
      <c r="CI147" s="51"/>
      <c r="CJ147" s="51"/>
      <c r="CK147" s="56">
        <f t="shared" si="465"/>
        <v>0</v>
      </c>
      <c r="CL147" s="56">
        <f t="shared" si="466"/>
        <v>0</v>
      </c>
      <c r="CM147" s="56">
        <f t="shared" si="466"/>
        <v>0</v>
      </c>
      <c r="CN147" s="56">
        <f t="shared" si="466"/>
        <v>0</v>
      </c>
      <c r="CO147" s="56">
        <f t="shared" si="466"/>
        <v>0</v>
      </c>
      <c r="CP147" s="56">
        <f t="shared" si="466"/>
        <v>117226139</v>
      </c>
      <c r="CQ147" s="56">
        <f t="shared" si="466"/>
        <v>117226139</v>
      </c>
      <c r="CR147" s="37">
        <f t="shared" si="467"/>
        <v>0</v>
      </c>
      <c r="CS147" s="39">
        <f t="shared" si="468"/>
        <v>0</v>
      </c>
      <c r="CT147" s="53">
        <f t="shared" si="469"/>
        <v>117226139</v>
      </c>
      <c r="CU147" s="39">
        <f t="shared" si="470"/>
        <v>0</v>
      </c>
      <c r="CV147" s="39">
        <f t="shared" si="471"/>
        <v>0</v>
      </c>
      <c r="CW147" s="39">
        <f t="shared" si="472"/>
        <v>0</v>
      </c>
      <c r="CX147" s="39">
        <f t="shared" si="473"/>
        <v>0</v>
      </c>
      <c r="CY147" s="39">
        <f t="shared" si="474"/>
        <v>0</v>
      </c>
      <c r="CZ147" s="39">
        <f t="shared" si="475"/>
        <v>0</v>
      </c>
      <c r="DA147" s="39">
        <f t="shared" si="476"/>
        <v>0</v>
      </c>
      <c r="DB147" s="39">
        <f t="shared" si="477"/>
        <v>0</v>
      </c>
      <c r="DC147" s="39">
        <f t="shared" si="478"/>
        <v>0</v>
      </c>
      <c r="DD147" s="39">
        <f>+HLOOKUP('Reporte Evolución Mensual'!$F$2-2,$CR$2:$DC$251, Input!$DG147, FALSE)</f>
        <v>0</v>
      </c>
      <c r="DE147" s="39">
        <f>+HLOOKUP('Reporte Evolución Mensual'!$F$2-1,$CR$2:$DC$251, Input!$DG147, FALSE)</f>
        <v>0</v>
      </c>
      <c r="DF147" s="39">
        <f>+HLOOKUP('Reporte Evolución Mensual'!$F$2,$CR$2:$DC$251, Input!$DG147, FALSE)</f>
        <v>0</v>
      </c>
      <c r="DG147" s="40">
        <f t="shared" si="479"/>
        <v>147</v>
      </c>
      <c r="DH147" s="39"/>
      <c r="DI147" s="39"/>
      <c r="DJ147" s="39"/>
      <c r="DK147" s="39"/>
      <c r="DL147" s="39"/>
      <c r="DM147" s="39"/>
      <c r="DN147" s="39"/>
      <c r="DO147" s="58"/>
      <c r="DP147" s="58"/>
      <c r="DQ147" s="58"/>
      <c r="DR147" s="58"/>
      <c r="DS147" s="41"/>
      <c r="DT147" s="41"/>
      <c r="DU147" s="41"/>
      <c r="DV147" s="345" t="s">
        <v>163</v>
      </c>
    </row>
    <row r="148" spans="1:126" ht="15" customHeight="1" x14ac:dyDescent="0.3">
      <c r="A148" s="1" t="str">
        <f t="shared" si="419"/>
        <v>ADIFSE</v>
      </c>
      <c r="B148" s="1" t="str">
        <f t="shared" si="420"/>
        <v>ADIFSE</v>
      </c>
      <c r="C148" s="1" t="str">
        <f t="shared" si="421"/>
        <v>MAY</v>
      </c>
      <c r="D148" s="41" t="s">
        <v>163</v>
      </c>
      <c r="E148" s="113" t="str">
        <f t="shared" si="452"/>
        <v>Obtención de Préstamos</v>
      </c>
      <c r="F148" s="114">
        <v>37</v>
      </c>
      <c r="G148" s="1" t="s">
        <v>174</v>
      </c>
      <c r="H148" s="32" t="s">
        <v>185</v>
      </c>
      <c r="I148" s="32" t="s">
        <v>185</v>
      </c>
      <c r="J148" s="32" t="s">
        <v>289</v>
      </c>
      <c r="K148" s="38"/>
      <c r="L148" s="60"/>
      <c r="M148" s="60"/>
      <c r="N148" s="60"/>
      <c r="O148" s="60"/>
      <c r="P148" s="51"/>
      <c r="Q148" s="56">
        <f t="shared" si="453"/>
        <v>0</v>
      </c>
      <c r="R148" s="60"/>
      <c r="S148" s="60"/>
      <c r="T148" s="60"/>
      <c r="U148" s="60"/>
      <c r="V148" s="51"/>
      <c r="W148" s="56">
        <f t="shared" si="454"/>
        <v>0</v>
      </c>
      <c r="X148" s="60"/>
      <c r="Y148" s="60"/>
      <c r="Z148" s="60"/>
      <c r="AA148" s="60"/>
      <c r="AB148" s="51"/>
      <c r="AC148" s="56">
        <f t="shared" si="455"/>
        <v>0</v>
      </c>
      <c r="AD148" s="60"/>
      <c r="AE148" s="60"/>
      <c r="AF148" s="60"/>
      <c r="AG148" s="60"/>
      <c r="AH148" s="51"/>
      <c r="AI148" s="56">
        <f t="shared" si="456"/>
        <v>0</v>
      </c>
      <c r="AJ148" s="60"/>
      <c r="AK148" s="60"/>
      <c r="AL148" s="60"/>
      <c r="AM148" s="60"/>
      <c r="AN148" s="51"/>
      <c r="AO148" s="56">
        <f t="shared" si="457"/>
        <v>0</v>
      </c>
      <c r="AP148" s="60"/>
      <c r="AQ148" s="60"/>
      <c r="AR148" s="60"/>
      <c r="AS148" s="60"/>
      <c r="AT148" s="51"/>
      <c r="AU148" s="56">
        <f t="shared" si="458"/>
        <v>0</v>
      </c>
      <c r="AV148" s="60"/>
      <c r="AW148" s="60"/>
      <c r="AX148" s="60"/>
      <c r="AY148" s="60"/>
      <c r="AZ148" s="51"/>
      <c r="BA148" s="56">
        <f t="shared" si="459"/>
        <v>0</v>
      </c>
      <c r="BB148" s="60"/>
      <c r="BC148" s="60"/>
      <c r="BD148" s="60"/>
      <c r="BE148" s="60"/>
      <c r="BF148" s="51"/>
      <c r="BG148" s="56">
        <f t="shared" si="460"/>
        <v>0</v>
      </c>
      <c r="BH148" s="60"/>
      <c r="BI148" s="60"/>
      <c r="BJ148" s="60"/>
      <c r="BK148" s="60"/>
      <c r="BL148" s="51"/>
      <c r="BM148" s="56">
        <f t="shared" si="461"/>
        <v>0</v>
      </c>
      <c r="BN148" s="60"/>
      <c r="BO148" s="60"/>
      <c r="BP148" s="60"/>
      <c r="BQ148" s="60"/>
      <c r="BR148" s="51"/>
      <c r="BS148" s="56">
        <f t="shared" si="462"/>
        <v>0</v>
      </c>
      <c r="BT148" s="60"/>
      <c r="BU148" s="60"/>
      <c r="BV148" s="60"/>
      <c r="BW148" s="60"/>
      <c r="BX148" s="51"/>
      <c r="BY148" s="56">
        <f t="shared" si="463"/>
        <v>0</v>
      </c>
      <c r="BZ148" s="60"/>
      <c r="CA148" s="60"/>
      <c r="CB148" s="60"/>
      <c r="CC148" s="60"/>
      <c r="CD148" s="51"/>
      <c r="CE148" s="56">
        <f t="shared" si="464"/>
        <v>0</v>
      </c>
      <c r="CF148" s="60"/>
      <c r="CG148" s="60"/>
      <c r="CH148" s="60"/>
      <c r="CI148" s="60"/>
      <c r="CJ148" s="51"/>
      <c r="CK148" s="56">
        <f t="shared" si="465"/>
        <v>0</v>
      </c>
      <c r="CL148" s="56">
        <f t="shared" si="466"/>
        <v>0</v>
      </c>
      <c r="CM148" s="56">
        <f t="shared" si="466"/>
        <v>0</v>
      </c>
      <c r="CN148" s="56">
        <f t="shared" si="466"/>
        <v>0</v>
      </c>
      <c r="CO148" s="56">
        <f t="shared" si="466"/>
        <v>0</v>
      </c>
      <c r="CP148" s="56">
        <f t="shared" si="466"/>
        <v>0</v>
      </c>
      <c r="CQ148" s="56">
        <f t="shared" si="466"/>
        <v>0</v>
      </c>
      <c r="CR148" s="37">
        <f t="shared" si="467"/>
        <v>0</v>
      </c>
      <c r="CS148" s="39">
        <f t="shared" si="468"/>
        <v>0</v>
      </c>
      <c r="CT148" s="53">
        <f t="shared" si="469"/>
        <v>0</v>
      </c>
      <c r="CU148" s="39">
        <f t="shared" si="470"/>
        <v>0</v>
      </c>
      <c r="CV148" s="39">
        <f t="shared" si="471"/>
        <v>0</v>
      </c>
      <c r="CW148" s="39">
        <f t="shared" si="472"/>
        <v>0</v>
      </c>
      <c r="CX148" s="39">
        <f t="shared" si="473"/>
        <v>0</v>
      </c>
      <c r="CY148" s="39">
        <f t="shared" si="474"/>
        <v>0</v>
      </c>
      <c r="CZ148" s="39">
        <f t="shared" si="475"/>
        <v>0</v>
      </c>
      <c r="DA148" s="39">
        <f t="shared" si="476"/>
        <v>0</v>
      </c>
      <c r="DB148" s="39">
        <f t="shared" si="477"/>
        <v>0</v>
      </c>
      <c r="DC148" s="39">
        <f t="shared" si="478"/>
        <v>0</v>
      </c>
      <c r="DD148" s="39">
        <f>+HLOOKUP('Reporte Evolución Mensual'!$F$2-2,$CR$2:$DC$251, Input!$DG148, FALSE)</f>
        <v>62624961.969999991</v>
      </c>
      <c r="DE148" s="39">
        <f>+HLOOKUP('Reporte Evolución Mensual'!$F$2-1,$CR$2:$DC$251, Input!$DG148, FALSE)</f>
        <v>25036768.170000002</v>
      </c>
      <c r="DF148" s="39">
        <f>+HLOOKUP('Reporte Evolución Mensual'!$F$2,$CR$2:$DC$251, Input!$DG148, FALSE)</f>
        <v>28733759.509999998</v>
      </c>
      <c r="DG148" s="40">
        <f t="shared" si="479"/>
        <v>148</v>
      </c>
      <c r="DH148" s="39"/>
      <c r="DI148" s="39"/>
      <c r="DJ148" s="39"/>
      <c r="DK148" s="39"/>
      <c r="DL148" s="39"/>
      <c r="DM148" s="39"/>
      <c r="DN148" s="39"/>
      <c r="DO148" s="58"/>
      <c r="DP148" s="58"/>
      <c r="DQ148" s="58"/>
      <c r="DR148" s="58"/>
      <c r="DS148" s="41"/>
      <c r="DT148" s="41"/>
      <c r="DU148" s="41"/>
      <c r="DV148" s="345" t="s">
        <v>163</v>
      </c>
    </row>
    <row r="149" spans="1:126" ht="15" customHeight="1" x14ac:dyDescent="0.3">
      <c r="A149" s="1" t="str">
        <f t="shared" si="419"/>
        <v>ADIFSE</v>
      </c>
      <c r="B149" s="1" t="str">
        <f t="shared" si="420"/>
        <v>ADIFSE</v>
      </c>
      <c r="C149" s="1" t="str">
        <f t="shared" si="421"/>
        <v>MAY</v>
      </c>
      <c r="D149" s="41" t="s">
        <v>163</v>
      </c>
      <c r="E149" s="113" t="str">
        <f t="shared" si="452"/>
        <v>Disminución de activos financieros/ Incremento de Pasivos</v>
      </c>
      <c r="F149" s="114" t="s">
        <v>186</v>
      </c>
      <c r="G149" s="1" t="s">
        <v>174</v>
      </c>
      <c r="H149" s="32" t="s">
        <v>187</v>
      </c>
      <c r="I149" s="32" t="s">
        <v>188</v>
      </c>
      <c r="J149" s="32" t="s">
        <v>289</v>
      </c>
      <c r="K149" s="38">
        <f>+IF((SUM(K143:K148)+K140-K184-K214-SUM(K219:K222)-K224)&lt;0,-(SUM(K143:K148)+K140-K184-K214-SUM(K219:K222)-K224),0)</f>
        <v>0</v>
      </c>
      <c r="L149" s="51"/>
      <c r="M149" s="51"/>
      <c r="N149" s="51"/>
      <c r="O149" s="51"/>
      <c r="P149" s="51"/>
      <c r="Q149" s="56">
        <f t="shared" si="453"/>
        <v>0</v>
      </c>
      <c r="R149" s="38">
        <f t="shared" ref="R149" si="480">+IF((SUM(R143:R148)+R140-R184-R214-SUM(R219:R222)-R224)&lt;0,-(SUM(R143:R148)+R140-R184-R214-SUM(R219:R222)-R224),0)</f>
        <v>287678007.81999999</v>
      </c>
      <c r="S149" s="38">
        <f t="shared" ref="S149" si="481">+IF((SUM(S143:S148)+S140-S184-S214-SUM(S219:S222)-S224)&lt;0,-(SUM(S143:S148)+S140-S184-S214-SUM(S219:S222)-S224),0)</f>
        <v>2311314.33</v>
      </c>
      <c r="T149" s="38">
        <f t="shared" ref="T149" si="482">+IF((SUM(T143:T148)+T140-T184-T214-SUM(T219:T222)-T224)&lt;0,-(SUM(T143:T148)+T140-T184-T214-SUM(T219:T222)-T224),0)</f>
        <v>0</v>
      </c>
      <c r="U149" s="38">
        <f t="shared" ref="U149" si="483">+IF((SUM(U143:U148)+U140-U184-U214-SUM(U219:U222)-U224)&lt;0,-(SUM(U143:U148)+U140-U184-U214-SUM(U219:U222)-U224),0)</f>
        <v>0</v>
      </c>
      <c r="V149" s="38">
        <f t="shared" ref="V149" si="484">+IF((SUM(V143:V148)+V140-V184-V214-SUM(V219:V222)-V224)&lt;0,-(SUM(V143:V148)+V140-V184-V214-SUM(V219:V222)-V224),0)</f>
        <v>75729000</v>
      </c>
      <c r="W149" s="56">
        <f>+SUM(R149:V149)</f>
        <v>365718322.14999998</v>
      </c>
      <c r="X149" s="38">
        <f t="shared" ref="X149:AB149" si="485">+IF((SUM(X143:X148)+X140-X184-X214-SUM(X219:X222)-X224)&gt;0,(SUM(X143:X148)+X140-X184-X214-SUM(X219:X222)-X224),0)</f>
        <v>0</v>
      </c>
      <c r="Y149" s="38">
        <f t="shared" si="485"/>
        <v>9243970.8599999994</v>
      </c>
      <c r="Z149" s="38">
        <f t="shared" si="485"/>
        <v>0</v>
      </c>
      <c r="AA149" s="38">
        <f t="shared" si="485"/>
        <v>0</v>
      </c>
      <c r="AB149" s="38">
        <f t="shared" si="485"/>
        <v>0</v>
      </c>
      <c r="AC149" s="56">
        <f>+SUM(X149:AB149)</f>
        <v>9243970.8599999994</v>
      </c>
      <c r="AD149" s="38">
        <f t="shared" ref="AD149:AH149" si="486">+IF((SUM(AD143:AD148)+AD140-AD184-AD214-SUM(AD219:AD222)-AD224)&gt;0,(SUM(AD143:AD148)+AD140-AD184-AD214-SUM(AD219:AD222)-AD224),0)</f>
        <v>0</v>
      </c>
      <c r="AE149" s="38">
        <f t="shared" si="486"/>
        <v>29022789.460000001</v>
      </c>
      <c r="AF149" s="38">
        <f t="shared" si="486"/>
        <v>0</v>
      </c>
      <c r="AG149" s="38">
        <f t="shared" si="486"/>
        <v>1033.5099999904633</v>
      </c>
      <c r="AH149" s="38">
        <f t="shared" si="486"/>
        <v>33601139</v>
      </c>
      <c r="AI149" s="56">
        <f>+SUM(AD149:AH149)</f>
        <v>62624961.969999991</v>
      </c>
      <c r="AJ149" s="38">
        <f>+IF((SUM(AJ143:AJ148)+AJ140-AJ184-AJ214-SUM(AJ219:AJ222)-AJ224)&gt;0,(SUM(AJ143:AJ148)+AJ140-AJ184-AJ214-SUM(AJ219:AJ222)-AJ224),0)</f>
        <v>0</v>
      </c>
      <c r="AK149" s="38">
        <f t="shared" ref="AK149:AN149" si="487">+IF((SUM(AK143:AK148)+AK140-AK184-AK214-SUM(AK219:AK222)-AK224)&gt;0,(SUM(AK143:AK148)+AK140-AK184-AK214-SUM(AK219:AK222)-AK224),0)</f>
        <v>25036768.170000002</v>
      </c>
      <c r="AL149" s="38">
        <f t="shared" si="487"/>
        <v>0</v>
      </c>
      <c r="AM149" s="38">
        <f t="shared" si="487"/>
        <v>0</v>
      </c>
      <c r="AN149" s="38">
        <f t="shared" si="487"/>
        <v>0</v>
      </c>
      <c r="AO149" s="56">
        <f>+SUM(AJ149:AN149)</f>
        <v>25036768.170000002</v>
      </c>
      <c r="AP149" s="38">
        <f t="shared" ref="AP149:AT149" si="488">+IF((SUM(AP143:AP148)+AP140-AP184-AP214-SUM(AP219:AP222)-AP224)&gt;0,(SUM(AP143:AP148)+AP140-AP184-AP214-SUM(AP219:AP222)-AP224),0)</f>
        <v>0</v>
      </c>
      <c r="AQ149" s="38">
        <f t="shared" si="488"/>
        <v>28733759.509999998</v>
      </c>
      <c r="AR149" s="38">
        <f t="shared" si="488"/>
        <v>0</v>
      </c>
      <c r="AS149" s="38">
        <f t="shared" si="488"/>
        <v>0</v>
      </c>
      <c r="AT149" s="38">
        <f t="shared" si="488"/>
        <v>0</v>
      </c>
      <c r="AU149" s="56">
        <f>+SUM(AP149:AT149)</f>
        <v>28733759.509999998</v>
      </c>
      <c r="AV149" s="38">
        <f t="shared" ref="AV149:AZ149" si="489">+IF((SUM(AV143:AV148)+AV140-AV184-AV214-SUM(AV219:AV222)-AV224)&gt;0,(SUM(AV143:AV148)+AV140-AV184-AV214-SUM(AV219:AV222)-AV224),0)</f>
        <v>0</v>
      </c>
      <c r="AW149" s="38">
        <f t="shared" si="489"/>
        <v>0</v>
      </c>
      <c r="AX149" s="38">
        <f t="shared" si="489"/>
        <v>0</v>
      </c>
      <c r="AY149" s="38">
        <f t="shared" si="489"/>
        <v>0</v>
      </c>
      <c r="AZ149" s="38">
        <f t="shared" si="489"/>
        <v>0</v>
      </c>
      <c r="BA149" s="56">
        <f>+SUM(AV149:AZ149)</f>
        <v>0</v>
      </c>
      <c r="BB149" s="38">
        <f t="shared" ref="BB149:BF149" si="490">+IF((SUM(BB143:BB148)+BB140-BB184-BB214-SUM(BB219:BB222)-BB224)&gt;0,(SUM(BB143:BB148)+BB140-BB184-BB214-SUM(BB219:BB222)-BB224),0)</f>
        <v>0</v>
      </c>
      <c r="BC149" s="38">
        <f t="shared" si="490"/>
        <v>0</v>
      </c>
      <c r="BD149" s="38">
        <f t="shared" si="490"/>
        <v>0</v>
      </c>
      <c r="BE149" s="38">
        <f t="shared" si="490"/>
        <v>0</v>
      </c>
      <c r="BF149" s="38">
        <f t="shared" si="490"/>
        <v>0</v>
      </c>
      <c r="BG149" s="56">
        <f>+SUM(BB149:BF149)</f>
        <v>0</v>
      </c>
      <c r="BH149" s="38">
        <f t="shared" ref="BH149:BL149" si="491">+IF((SUM(BH143:BH148)+BH140-BH184-BH214-SUM(BH219:BH222)-BH224)&gt;0,(SUM(BH143:BH148)+BH140-BH184-BH214-SUM(BH219:BH222)-BH224),0)</f>
        <v>0</v>
      </c>
      <c r="BI149" s="38">
        <f t="shared" si="491"/>
        <v>0</v>
      </c>
      <c r="BJ149" s="38">
        <f t="shared" si="491"/>
        <v>0</v>
      </c>
      <c r="BK149" s="38">
        <f t="shared" si="491"/>
        <v>0</v>
      </c>
      <c r="BL149" s="38">
        <f t="shared" si="491"/>
        <v>0</v>
      </c>
      <c r="BM149" s="56">
        <f>+SUM(BH149:BL149)</f>
        <v>0</v>
      </c>
      <c r="BN149" s="38">
        <f t="shared" ref="BN149:BR149" si="492">+IF((SUM(BN143:BN148)+BN140-BN184-BN214-SUM(BN219:BN222)-BN224)&gt;0,(SUM(BN143:BN148)+BN140-BN184-BN214-SUM(BN219:BN222)-BN224),0)</f>
        <v>0</v>
      </c>
      <c r="BO149" s="38">
        <f t="shared" si="492"/>
        <v>0</v>
      </c>
      <c r="BP149" s="38">
        <f t="shared" si="492"/>
        <v>0</v>
      </c>
      <c r="BQ149" s="38">
        <f t="shared" si="492"/>
        <v>0</v>
      </c>
      <c r="BR149" s="38">
        <f t="shared" si="492"/>
        <v>0</v>
      </c>
      <c r="BS149" s="56">
        <f>+SUM(BN149:BR149)</f>
        <v>0</v>
      </c>
      <c r="BT149" s="38">
        <f t="shared" ref="BT149:BX149" si="493">+IF((SUM(BT143:BT148)+BT140-BT184-BT214-SUM(BT219:BT222)-BT224)&gt;0,(SUM(BT143:BT148)+BT140-BT184-BT214-SUM(BT219:BT222)-BT224),0)</f>
        <v>0</v>
      </c>
      <c r="BU149" s="38">
        <f t="shared" si="493"/>
        <v>0</v>
      </c>
      <c r="BV149" s="38">
        <f t="shared" si="493"/>
        <v>0</v>
      </c>
      <c r="BW149" s="38">
        <f t="shared" si="493"/>
        <v>0</v>
      </c>
      <c r="BX149" s="38">
        <f t="shared" si="493"/>
        <v>0</v>
      </c>
      <c r="BY149" s="56">
        <f>+SUM(BT149:BX149)</f>
        <v>0</v>
      </c>
      <c r="BZ149" s="38">
        <f t="shared" ref="BZ149:CD149" si="494">+IF((SUM(BZ143:BZ148)+BZ140-BZ184-BZ214-SUM(BZ219:BZ222)-BZ224)&gt;0,(SUM(BZ143:BZ148)+BZ140-BZ184-BZ214-SUM(BZ219:BZ222)-BZ224),0)</f>
        <v>0</v>
      </c>
      <c r="CA149" s="38">
        <f t="shared" si="494"/>
        <v>0</v>
      </c>
      <c r="CB149" s="38">
        <f t="shared" si="494"/>
        <v>0</v>
      </c>
      <c r="CC149" s="38">
        <f t="shared" si="494"/>
        <v>0</v>
      </c>
      <c r="CD149" s="38">
        <f t="shared" si="494"/>
        <v>0</v>
      </c>
      <c r="CE149" s="56">
        <f>+SUM(BZ149:CD149)</f>
        <v>0</v>
      </c>
      <c r="CF149" s="38">
        <f t="shared" ref="CF149:CJ149" si="495">+IF((SUM(CF143:CF148)+CF140-CF184-CF214-SUM(CF219:CF222)-CF224)&gt;0,(SUM(CF143:CF148)+CF140-CF184-CF214-SUM(CF219:CF222)-CF224),0)</f>
        <v>0</v>
      </c>
      <c r="CG149" s="38">
        <f t="shared" si="495"/>
        <v>0</v>
      </c>
      <c r="CH149" s="38">
        <f t="shared" si="495"/>
        <v>0</v>
      </c>
      <c r="CI149" s="38">
        <f t="shared" si="495"/>
        <v>0</v>
      </c>
      <c r="CJ149" s="38">
        <f t="shared" si="495"/>
        <v>0</v>
      </c>
      <c r="CK149" s="56">
        <f>+SUM(CF149:CJ149)</f>
        <v>0</v>
      </c>
      <c r="CL149" s="38">
        <f t="shared" si="466"/>
        <v>287678007.81999999</v>
      </c>
      <c r="CM149" s="38">
        <f t="shared" si="466"/>
        <v>94348602.329999998</v>
      </c>
      <c r="CN149" s="38">
        <f t="shared" si="466"/>
        <v>0</v>
      </c>
      <c r="CO149" s="38">
        <f t="shared" si="466"/>
        <v>1033.5099999904633</v>
      </c>
      <c r="CP149" s="38">
        <f t="shared" si="466"/>
        <v>109330139</v>
      </c>
      <c r="CQ149" s="56">
        <f t="shared" si="466"/>
        <v>491357782.65999997</v>
      </c>
      <c r="CR149" s="37">
        <f t="shared" si="467"/>
        <v>365718322.14999998</v>
      </c>
      <c r="CS149" s="39">
        <f t="shared" si="468"/>
        <v>9243970.8599999994</v>
      </c>
      <c r="CT149" s="53">
        <f t="shared" si="469"/>
        <v>62624961.969999991</v>
      </c>
      <c r="CU149" s="39">
        <f t="shared" si="470"/>
        <v>25036768.170000002</v>
      </c>
      <c r="CV149" s="39">
        <f t="shared" si="471"/>
        <v>28733759.509999998</v>
      </c>
      <c r="CW149" s="39">
        <f t="shared" si="472"/>
        <v>0</v>
      </c>
      <c r="CX149" s="39">
        <f t="shared" si="473"/>
        <v>0</v>
      </c>
      <c r="CY149" s="39">
        <f t="shared" si="474"/>
        <v>0</v>
      </c>
      <c r="CZ149" s="39">
        <f t="shared" si="475"/>
        <v>0</v>
      </c>
      <c r="DA149" s="39">
        <f t="shared" si="476"/>
        <v>0</v>
      </c>
      <c r="DB149" s="39">
        <f t="shared" si="477"/>
        <v>0</v>
      </c>
      <c r="DC149" s="39">
        <f t="shared" si="478"/>
        <v>0</v>
      </c>
      <c r="DD149" s="39">
        <f>+HLOOKUP('Reporte Evolución Mensual'!$F$2-2,$CR$2:$DC$251, Input!$DG149, FALSE)</f>
        <v>864076100.97000003</v>
      </c>
      <c r="DE149" s="39">
        <f>+HLOOKUP('Reporte Evolución Mensual'!$F$2-1,$CR$2:$DC$251, Input!$DG149, FALSE)</f>
        <v>220416768.17000002</v>
      </c>
      <c r="DF149" s="39">
        <f>+HLOOKUP('Reporte Evolución Mensual'!$F$2,$CR$2:$DC$251, Input!$DG149, FALSE)</f>
        <v>520041759.50999999</v>
      </c>
      <c r="DG149" s="40">
        <f t="shared" si="479"/>
        <v>149</v>
      </c>
      <c r="DH149" s="39"/>
      <c r="DI149" s="39"/>
      <c r="DJ149" s="39"/>
      <c r="DK149" s="39"/>
      <c r="DL149" s="39"/>
      <c r="DM149" s="39"/>
      <c r="DN149" s="39"/>
      <c r="DO149" s="58"/>
      <c r="DP149" s="58"/>
      <c r="DQ149" s="58"/>
      <c r="DR149" s="58"/>
      <c r="DS149" s="41"/>
      <c r="DT149" s="41"/>
      <c r="DU149" s="41"/>
      <c r="DV149" s="345" t="s">
        <v>163</v>
      </c>
    </row>
    <row r="150" spans="1:126" ht="15" customHeight="1" x14ac:dyDescent="0.3">
      <c r="A150" s="1" t="str">
        <f t="shared" si="419"/>
        <v>ADIFSE</v>
      </c>
      <c r="B150" s="1" t="str">
        <f t="shared" si="420"/>
        <v>ADIFSE</v>
      </c>
      <c r="C150" s="1" t="str">
        <f t="shared" si="421"/>
        <v>MAY</v>
      </c>
      <c r="D150" s="41" t="s">
        <v>108</v>
      </c>
      <c r="E150" s="117" t="str">
        <f>CONCATENATE(E142," - ",I150)</f>
        <v>Otros Recursos - Total</v>
      </c>
      <c r="F150" s="116"/>
      <c r="G150" s="1" t="s">
        <v>174</v>
      </c>
      <c r="H150" s="32" t="s">
        <v>173</v>
      </c>
      <c r="I150" s="32" t="s">
        <v>173</v>
      </c>
      <c r="J150" s="32" t="s">
        <v>289</v>
      </c>
      <c r="K150" s="46"/>
      <c r="L150" s="55">
        <f t="shared" ref="L150:BW150" si="496">SUM(L143:L149)</f>
        <v>95000000</v>
      </c>
      <c r="M150" s="55">
        <f t="shared" si="496"/>
        <v>0</v>
      </c>
      <c r="N150" s="55">
        <f t="shared" si="496"/>
        <v>0</v>
      </c>
      <c r="O150" s="55">
        <f t="shared" si="496"/>
        <v>0</v>
      </c>
      <c r="P150" s="55">
        <f t="shared" si="496"/>
        <v>0</v>
      </c>
      <c r="Q150" s="55">
        <f t="shared" si="496"/>
        <v>95000000</v>
      </c>
      <c r="R150" s="55">
        <f t="shared" si="496"/>
        <v>331846007.81999999</v>
      </c>
      <c r="S150" s="55">
        <f t="shared" si="496"/>
        <v>2311314.33</v>
      </c>
      <c r="T150" s="55">
        <f t="shared" si="496"/>
        <v>0</v>
      </c>
      <c r="U150" s="55">
        <f t="shared" si="496"/>
        <v>0</v>
      </c>
      <c r="V150" s="55">
        <f t="shared" si="496"/>
        <v>75729000</v>
      </c>
      <c r="W150" s="55">
        <f t="shared" si="496"/>
        <v>409886322.14999998</v>
      </c>
      <c r="X150" s="55">
        <f t="shared" si="496"/>
        <v>483605000</v>
      </c>
      <c r="Y150" s="55">
        <f t="shared" si="496"/>
        <v>9243970.8599999994</v>
      </c>
      <c r="Z150" s="55">
        <f t="shared" si="496"/>
        <v>0</v>
      </c>
      <c r="AA150" s="55">
        <f t="shared" si="496"/>
        <v>215000000</v>
      </c>
      <c r="AB150" s="55">
        <f t="shared" si="496"/>
        <v>0</v>
      </c>
      <c r="AC150" s="55">
        <f t="shared" si="496"/>
        <v>707848970.86000001</v>
      </c>
      <c r="AD150" s="55">
        <f t="shared" si="496"/>
        <v>469225000</v>
      </c>
      <c r="AE150" s="55">
        <f t="shared" si="496"/>
        <v>29022789.460000001</v>
      </c>
      <c r="AF150" s="55">
        <f t="shared" si="496"/>
        <v>0</v>
      </c>
      <c r="AG150" s="55">
        <f t="shared" si="496"/>
        <v>215001033.50999999</v>
      </c>
      <c r="AH150" s="55">
        <f t="shared" si="496"/>
        <v>150827278</v>
      </c>
      <c r="AI150" s="55">
        <f t="shared" si="496"/>
        <v>864076100.97000003</v>
      </c>
      <c r="AJ150" s="55">
        <f t="shared" si="496"/>
        <v>45380000</v>
      </c>
      <c r="AK150" s="55">
        <f t="shared" si="496"/>
        <v>25036768.170000002</v>
      </c>
      <c r="AL150" s="55">
        <f t="shared" si="496"/>
        <v>0</v>
      </c>
      <c r="AM150" s="55">
        <f t="shared" si="496"/>
        <v>150000000</v>
      </c>
      <c r="AN150" s="55">
        <f t="shared" si="496"/>
        <v>0</v>
      </c>
      <c r="AO150" s="55">
        <f t="shared" si="496"/>
        <v>220416768.17000002</v>
      </c>
      <c r="AP150" s="55">
        <f t="shared" si="496"/>
        <v>341308000</v>
      </c>
      <c r="AQ150" s="55">
        <f t="shared" si="496"/>
        <v>28733759.509999998</v>
      </c>
      <c r="AR150" s="55">
        <f t="shared" si="496"/>
        <v>0</v>
      </c>
      <c r="AS150" s="55">
        <f t="shared" si="496"/>
        <v>150000000</v>
      </c>
      <c r="AT150" s="55">
        <f t="shared" si="496"/>
        <v>0</v>
      </c>
      <c r="AU150" s="55">
        <f t="shared" si="496"/>
        <v>520041759.50999999</v>
      </c>
      <c r="AV150" s="55">
        <f t="shared" si="496"/>
        <v>0</v>
      </c>
      <c r="AW150" s="55">
        <f t="shared" si="496"/>
        <v>0</v>
      </c>
      <c r="AX150" s="55">
        <f t="shared" si="496"/>
        <v>0</v>
      </c>
      <c r="AY150" s="55">
        <f t="shared" si="496"/>
        <v>0</v>
      </c>
      <c r="AZ150" s="55">
        <f t="shared" si="496"/>
        <v>0</v>
      </c>
      <c r="BA150" s="55">
        <f t="shared" si="496"/>
        <v>0</v>
      </c>
      <c r="BB150" s="55">
        <f t="shared" si="496"/>
        <v>0</v>
      </c>
      <c r="BC150" s="55">
        <f t="shared" si="496"/>
        <v>0</v>
      </c>
      <c r="BD150" s="55">
        <f t="shared" si="496"/>
        <v>0</v>
      </c>
      <c r="BE150" s="55">
        <f t="shared" si="496"/>
        <v>0</v>
      </c>
      <c r="BF150" s="55">
        <f t="shared" si="496"/>
        <v>0</v>
      </c>
      <c r="BG150" s="55">
        <f t="shared" si="496"/>
        <v>0</v>
      </c>
      <c r="BH150" s="55">
        <f t="shared" si="496"/>
        <v>0</v>
      </c>
      <c r="BI150" s="55">
        <f t="shared" si="496"/>
        <v>0</v>
      </c>
      <c r="BJ150" s="55">
        <f t="shared" si="496"/>
        <v>0</v>
      </c>
      <c r="BK150" s="55">
        <f t="shared" si="496"/>
        <v>0</v>
      </c>
      <c r="BL150" s="55">
        <f t="shared" si="496"/>
        <v>0</v>
      </c>
      <c r="BM150" s="55">
        <f t="shared" si="496"/>
        <v>0</v>
      </c>
      <c r="BN150" s="55">
        <f t="shared" si="496"/>
        <v>0</v>
      </c>
      <c r="BO150" s="55">
        <f t="shared" si="496"/>
        <v>0</v>
      </c>
      <c r="BP150" s="55">
        <f t="shared" si="496"/>
        <v>0</v>
      </c>
      <c r="BQ150" s="55">
        <f t="shared" si="496"/>
        <v>0</v>
      </c>
      <c r="BR150" s="55">
        <f t="shared" si="496"/>
        <v>0</v>
      </c>
      <c r="BS150" s="55">
        <f t="shared" si="496"/>
        <v>0</v>
      </c>
      <c r="BT150" s="55">
        <f t="shared" si="496"/>
        <v>0</v>
      </c>
      <c r="BU150" s="55">
        <f t="shared" si="496"/>
        <v>0</v>
      </c>
      <c r="BV150" s="55">
        <f t="shared" si="496"/>
        <v>0</v>
      </c>
      <c r="BW150" s="55">
        <f t="shared" si="496"/>
        <v>0</v>
      </c>
      <c r="BX150" s="55">
        <f t="shared" ref="BX150:CK150" si="497">SUM(BX143:BX149)</f>
        <v>0</v>
      </c>
      <c r="BY150" s="55">
        <f t="shared" si="497"/>
        <v>0</v>
      </c>
      <c r="BZ150" s="55">
        <f t="shared" si="497"/>
        <v>0</v>
      </c>
      <c r="CA150" s="55">
        <f t="shared" si="497"/>
        <v>0</v>
      </c>
      <c r="CB150" s="55">
        <f t="shared" si="497"/>
        <v>0</v>
      </c>
      <c r="CC150" s="55">
        <f t="shared" si="497"/>
        <v>0</v>
      </c>
      <c r="CD150" s="55">
        <f t="shared" si="497"/>
        <v>0</v>
      </c>
      <c r="CE150" s="55">
        <f t="shared" si="497"/>
        <v>0</v>
      </c>
      <c r="CF150" s="55">
        <f t="shared" si="497"/>
        <v>0</v>
      </c>
      <c r="CG150" s="55">
        <f t="shared" si="497"/>
        <v>0</v>
      </c>
      <c r="CH150" s="55">
        <f t="shared" si="497"/>
        <v>0</v>
      </c>
      <c r="CI150" s="55">
        <f t="shared" si="497"/>
        <v>0</v>
      </c>
      <c r="CJ150" s="55">
        <f t="shared" si="497"/>
        <v>0</v>
      </c>
      <c r="CK150" s="55">
        <f t="shared" si="497"/>
        <v>0</v>
      </c>
      <c r="CL150" s="55">
        <f t="shared" si="466"/>
        <v>1671364007.8199999</v>
      </c>
      <c r="CM150" s="55">
        <f t="shared" si="466"/>
        <v>94348602.329999998</v>
      </c>
      <c r="CN150" s="55">
        <f t="shared" si="466"/>
        <v>0</v>
      </c>
      <c r="CO150" s="55">
        <f t="shared" si="466"/>
        <v>730001033.50999999</v>
      </c>
      <c r="CP150" s="55">
        <f t="shared" si="466"/>
        <v>226556278</v>
      </c>
      <c r="CQ150" s="55">
        <f t="shared" si="466"/>
        <v>2722269921.6599998</v>
      </c>
      <c r="CR150" s="37">
        <f t="shared" si="467"/>
        <v>409886322.14999998</v>
      </c>
      <c r="CS150" s="39">
        <f t="shared" si="468"/>
        <v>707848970.86000001</v>
      </c>
      <c r="CT150" s="53">
        <f t="shared" si="469"/>
        <v>864076100.97000003</v>
      </c>
      <c r="CU150" s="39">
        <f t="shared" si="470"/>
        <v>220416768.17000002</v>
      </c>
      <c r="CV150" s="39">
        <f t="shared" si="471"/>
        <v>520041759.50999999</v>
      </c>
      <c r="CW150" s="39">
        <f t="shared" si="472"/>
        <v>0</v>
      </c>
      <c r="CX150" s="39">
        <f t="shared" si="473"/>
        <v>0</v>
      </c>
      <c r="CY150" s="39">
        <f t="shared" si="474"/>
        <v>0</v>
      </c>
      <c r="CZ150" s="39">
        <f t="shared" si="475"/>
        <v>0</v>
      </c>
      <c r="DA150" s="39">
        <f t="shared" si="476"/>
        <v>0</v>
      </c>
      <c r="DB150" s="39">
        <f t="shared" si="477"/>
        <v>0</v>
      </c>
      <c r="DC150" s="39">
        <f t="shared" si="478"/>
        <v>0</v>
      </c>
      <c r="DD150" s="39">
        <f>+HLOOKUP('Reporte Evolución Mensual'!$F$2-2,$CR$2:$DC$251, Input!$DG150, FALSE)</f>
        <v>0</v>
      </c>
      <c r="DE150" s="39">
        <f>+HLOOKUP('Reporte Evolución Mensual'!$F$2-1,$CR$2:$DC$251, Input!$DG150, FALSE)</f>
        <v>0</v>
      </c>
      <c r="DF150" s="39">
        <f>+HLOOKUP('Reporte Evolución Mensual'!$F$2,$CR$2:$DC$251, Input!$DG150, FALSE)</f>
        <v>0</v>
      </c>
      <c r="DG150" s="40">
        <f t="shared" si="479"/>
        <v>150</v>
      </c>
      <c r="DH150" s="39"/>
      <c r="DI150" s="39"/>
      <c r="DJ150" s="39"/>
      <c r="DK150" s="39"/>
      <c r="DL150" s="39"/>
      <c r="DM150" s="39"/>
      <c r="DN150" s="39"/>
      <c r="DO150" s="58"/>
      <c r="DP150" s="58"/>
      <c r="DQ150" s="58"/>
      <c r="DR150" s="58"/>
      <c r="DS150" s="41"/>
      <c r="DT150" s="41"/>
      <c r="DU150" s="41"/>
      <c r="DV150" s="345" t="s">
        <v>163</v>
      </c>
    </row>
    <row r="151" spans="1:126" ht="15" customHeight="1" x14ac:dyDescent="0.3">
      <c r="A151" s="1" t="str">
        <f t="shared" si="419"/>
        <v>ADIFSE</v>
      </c>
      <c r="B151" s="1" t="str">
        <f t="shared" si="420"/>
        <v>ADIFSE</v>
      </c>
      <c r="C151" s="1" t="str">
        <f t="shared" si="421"/>
        <v>MAY</v>
      </c>
      <c r="D151" s="41" t="s">
        <v>108</v>
      </c>
      <c r="E151" s="117" t="s">
        <v>333</v>
      </c>
      <c r="F151" s="116"/>
      <c r="G151" s="1"/>
      <c r="H151" s="32"/>
      <c r="I151" s="32"/>
      <c r="J151" s="32"/>
      <c r="K151" s="46"/>
      <c r="L151" s="46"/>
      <c r="M151" s="46"/>
      <c r="N151" s="46"/>
      <c r="O151" s="46"/>
      <c r="P151" s="46"/>
      <c r="Q151" s="56"/>
      <c r="R151" s="46"/>
      <c r="S151" s="46"/>
      <c r="T151" s="46"/>
      <c r="U151" s="46"/>
      <c r="V151" s="46"/>
      <c r="W151" s="57"/>
      <c r="X151" s="46"/>
      <c r="Y151" s="46"/>
      <c r="Z151" s="46"/>
      <c r="AA151" s="46"/>
      <c r="AB151" s="46"/>
      <c r="AC151" s="57"/>
      <c r="AD151" s="46"/>
      <c r="AE151" s="46"/>
      <c r="AF151" s="46"/>
      <c r="AG151" s="46"/>
      <c r="AH151" s="46"/>
      <c r="AI151" s="57"/>
      <c r="AJ151" s="46"/>
      <c r="AK151" s="46"/>
      <c r="AL151" s="46"/>
      <c r="AM151" s="46"/>
      <c r="AN151" s="46"/>
      <c r="AO151" s="57"/>
      <c r="AP151" s="46"/>
      <c r="AQ151" s="46"/>
      <c r="AR151" s="46"/>
      <c r="AS151" s="46"/>
      <c r="AT151" s="46"/>
      <c r="AU151" s="57"/>
      <c r="AV151" s="46"/>
      <c r="AW151" s="46"/>
      <c r="AX151" s="46"/>
      <c r="AY151" s="46"/>
      <c r="AZ151" s="46"/>
      <c r="BA151" s="57"/>
      <c r="BB151" s="46"/>
      <c r="BC151" s="46"/>
      <c r="BD151" s="46"/>
      <c r="BE151" s="46"/>
      <c r="BF151" s="46"/>
      <c r="BG151" s="57"/>
      <c r="BH151" s="46"/>
      <c r="BI151" s="46"/>
      <c r="BJ151" s="46"/>
      <c r="BK151" s="46"/>
      <c r="BL151" s="46"/>
      <c r="BM151" s="57"/>
      <c r="BN151" s="46"/>
      <c r="BO151" s="46"/>
      <c r="BP151" s="46"/>
      <c r="BQ151" s="46"/>
      <c r="BR151" s="46"/>
      <c r="BS151" s="57"/>
      <c r="BT151" s="46"/>
      <c r="BU151" s="46"/>
      <c r="BV151" s="46"/>
      <c r="BW151" s="46"/>
      <c r="BX151" s="46"/>
      <c r="BY151" s="57"/>
      <c r="BZ151" s="46"/>
      <c r="CA151" s="46"/>
      <c r="CB151" s="46"/>
      <c r="CC151" s="46"/>
      <c r="CD151" s="46"/>
      <c r="CE151" s="48"/>
      <c r="CF151" s="46"/>
      <c r="CG151" s="46"/>
      <c r="CH151" s="46"/>
      <c r="CI151" s="46"/>
      <c r="CJ151" s="46"/>
      <c r="CK151" s="48"/>
      <c r="CL151" s="47"/>
      <c r="CM151" s="47"/>
      <c r="CN151" s="47"/>
      <c r="CO151" s="47"/>
      <c r="CP151" s="47"/>
      <c r="CQ151" s="47"/>
      <c r="CR151" s="46"/>
      <c r="CS151" s="46"/>
      <c r="CT151" s="46"/>
      <c r="CU151" s="46"/>
      <c r="CV151" s="46"/>
      <c r="CW151" s="46"/>
      <c r="CX151" s="46"/>
      <c r="CY151" s="46"/>
      <c r="CZ151" s="46"/>
      <c r="DA151" s="46"/>
      <c r="DB151" s="46"/>
      <c r="DC151" s="48"/>
      <c r="DD151" s="39">
        <f>+HLOOKUP('Reporte Evolución Mensual'!$F$2-2,$CR$2:$DC$251, Input!$DG151, FALSE)</f>
        <v>0</v>
      </c>
      <c r="DE151" s="39">
        <f>+HLOOKUP('Reporte Evolución Mensual'!$F$2-1,$CR$2:$DC$251, Input!$DG151, FALSE)</f>
        <v>0</v>
      </c>
      <c r="DF151" s="39">
        <f>+HLOOKUP('Reporte Evolución Mensual'!$F$2,$CR$2:$DC$251, Input!$DG151, FALSE)</f>
        <v>0</v>
      </c>
      <c r="DG151" s="40">
        <f t="shared" si="479"/>
        <v>151</v>
      </c>
      <c r="DH151" s="39"/>
      <c r="DI151" s="39"/>
      <c r="DJ151" s="39"/>
      <c r="DK151" s="39"/>
      <c r="DL151" s="39"/>
      <c r="DM151" s="39"/>
      <c r="DN151" s="39"/>
      <c r="DO151" s="58"/>
      <c r="DP151" s="58"/>
      <c r="DQ151" s="58"/>
      <c r="DR151" s="58"/>
      <c r="DS151" s="41"/>
      <c r="DT151" s="41"/>
      <c r="DU151" s="41"/>
      <c r="DV151" s="345"/>
    </row>
    <row r="152" spans="1:126" ht="15" customHeight="1" x14ac:dyDescent="0.3">
      <c r="A152" s="1" t="str">
        <f t="shared" si="419"/>
        <v>ADIFSE</v>
      </c>
      <c r="B152" s="1" t="str">
        <f t="shared" si="420"/>
        <v>ADIFSE</v>
      </c>
      <c r="C152" s="1" t="str">
        <f t="shared" si="421"/>
        <v>MAY</v>
      </c>
      <c r="D152" s="41" t="s">
        <v>108</v>
      </c>
      <c r="E152" s="115" t="s">
        <v>189</v>
      </c>
      <c r="F152" s="116"/>
      <c r="G152" s="1"/>
      <c r="H152" s="32"/>
      <c r="I152" s="32"/>
      <c r="J152" s="32"/>
      <c r="K152" s="46"/>
      <c r="L152" s="46"/>
      <c r="M152" s="46"/>
      <c r="N152" s="46"/>
      <c r="O152" s="46"/>
      <c r="P152" s="46"/>
      <c r="Q152" s="56"/>
      <c r="R152" s="46"/>
      <c r="S152" s="46"/>
      <c r="T152" s="46"/>
      <c r="U152" s="46"/>
      <c r="V152" s="46"/>
      <c r="W152" s="57"/>
      <c r="X152" s="46"/>
      <c r="Y152" s="46"/>
      <c r="Z152" s="46"/>
      <c r="AA152" s="46"/>
      <c r="AB152" s="46"/>
      <c r="AC152" s="57"/>
      <c r="AD152" s="46"/>
      <c r="AE152" s="46"/>
      <c r="AF152" s="46"/>
      <c r="AG152" s="46"/>
      <c r="AH152" s="46"/>
      <c r="AI152" s="57"/>
      <c r="AJ152" s="46"/>
      <c r="AK152" s="46"/>
      <c r="AL152" s="46"/>
      <c r="AM152" s="46"/>
      <c r="AN152" s="46"/>
      <c r="AO152" s="57"/>
      <c r="AP152" s="46"/>
      <c r="AQ152" s="46"/>
      <c r="AR152" s="46"/>
      <c r="AS152" s="46"/>
      <c r="AT152" s="46"/>
      <c r="AU152" s="57"/>
      <c r="AV152" s="46"/>
      <c r="AW152" s="46"/>
      <c r="AX152" s="46"/>
      <c r="AY152" s="46"/>
      <c r="AZ152" s="46"/>
      <c r="BA152" s="57"/>
      <c r="BB152" s="46"/>
      <c r="BC152" s="46"/>
      <c r="BD152" s="46"/>
      <c r="BE152" s="46"/>
      <c r="BF152" s="46"/>
      <c r="BG152" s="57"/>
      <c r="BH152" s="46"/>
      <c r="BI152" s="46"/>
      <c r="BJ152" s="46"/>
      <c r="BK152" s="46"/>
      <c r="BL152" s="46"/>
      <c r="BM152" s="57"/>
      <c r="BN152" s="46"/>
      <c r="BO152" s="46"/>
      <c r="BP152" s="46"/>
      <c r="BQ152" s="46"/>
      <c r="BR152" s="46"/>
      <c r="BS152" s="57"/>
      <c r="BT152" s="46"/>
      <c r="BU152" s="46"/>
      <c r="BV152" s="46"/>
      <c r="BW152" s="46"/>
      <c r="BX152" s="46"/>
      <c r="BY152" s="57"/>
      <c r="BZ152" s="46"/>
      <c r="CA152" s="46"/>
      <c r="CB152" s="46"/>
      <c r="CC152" s="46"/>
      <c r="CD152" s="46"/>
      <c r="CE152" s="48"/>
      <c r="CF152" s="46"/>
      <c r="CG152" s="46"/>
      <c r="CH152" s="46"/>
      <c r="CI152" s="46"/>
      <c r="CJ152" s="46"/>
      <c r="CK152" s="48"/>
      <c r="CL152" s="47"/>
      <c r="CM152" s="47"/>
      <c r="CN152" s="47"/>
      <c r="CO152" s="47"/>
      <c r="CP152" s="47"/>
      <c r="CQ152" s="47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8"/>
      <c r="DD152" s="39">
        <f>+HLOOKUP('Reporte Evolución Mensual'!$F$2-2,$CR$2:$DC$251, Input!$DG152, FALSE)</f>
        <v>41832314.119999997</v>
      </c>
      <c r="DE152" s="39">
        <f>+HLOOKUP('Reporte Evolución Mensual'!$F$2-1,$CR$2:$DC$251, Input!$DG152, FALSE)</f>
        <v>46672895.180000007</v>
      </c>
      <c r="DF152" s="39">
        <f>+HLOOKUP('Reporte Evolución Mensual'!$F$2,$CR$2:$DC$251, Input!$DG152, FALSE)</f>
        <v>44842665.109999999</v>
      </c>
      <c r="DG152" s="40">
        <f t="shared" si="479"/>
        <v>152</v>
      </c>
      <c r="DH152" s="39"/>
      <c r="DI152" s="39"/>
      <c r="DJ152" s="39"/>
      <c r="DK152" s="39"/>
      <c r="DL152" s="39"/>
      <c r="DM152" s="39"/>
      <c r="DN152" s="39"/>
      <c r="DO152" s="58"/>
      <c r="DP152" s="58"/>
      <c r="DQ152" s="58"/>
      <c r="DR152" s="58"/>
      <c r="DS152" s="41"/>
      <c r="DT152" s="41"/>
      <c r="DU152" s="41"/>
      <c r="DV152" s="345"/>
    </row>
    <row r="153" spans="1:126" ht="15" customHeight="1" x14ac:dyDescent="0.3">
      <c r="A153" s="1" t="str">
        <f t="shared" si="419"/>
        <v>ADIFSE</v>
      </c>
      <c r="B153" s="1" t="str">
        <f t="shared" si="420"/>
        <v>ADIFSE</v>
      </c>
      <c r="C153" s="1" t="str">
        <f t="shared" si="421"/>
        <v>MAY</v>
      </c>
      <c r="D153" s="1" t="s">
        <v>163</v>
      </c>
      <c r="E153" s="113" t="str">
        <f>H153</f>
        <v>Personal</v>
      </c>
      <c r="F153" s="114">
        <v>1</v>
      </c>
      <c r="G153" s="1" t="s">
        <v>189</v>
      </c>
      <c r="H153" s="32" t="s">
        <v>191</v>
      </c>
      <c r="I153" s="32" t="s">
        <v>191</v>
      </c>
      <c r="J153" s="32" t="s">
        <v>289</v>
      </c>
      <c r="K153" s="38"/>
      <c r="L153" s="51"/>
      <c r="M153" s="51"/>
      <c r="N153" s="51"/>
      <c r="O153" s="51"/>
      <c r="P153" s="51"/>
      <c r="Q153" s="35">
        <f t="shared" ref="Q153:Q154" si="498">SUM(L153:P153)</f>
        <v>0</v>
      </c>
      <c r="R153" s="51">
        <v>42054537.549999997</v>
      </c>
      <c r="S153" s="51"/>
      <c r="T153" s="51"/>
      <c r="U153" s="51"/>
      <c r="V153" s="51"/>
      <c r="W153" s="52">
        <f t="shared" ref="W153:W154" si="499">SUM(R153:V153)</f>
        <v>42054537.549999997</v>
      </c>
      <c r="X153" s="448">
        <f>48043515.22-AA153</f>
        <v>41524515.219999999</v>
      </c>
      <c r="Y153" s="51"/>
      <c r="Z153" s="51"/>
      <c r="AA153" s="51">
        <v>6519000</v>
      </c>
      <c r="AB153" s="51"/>
      <c r="AC153" s="52">
        <f t="shared" ref="AC153:AC154" si="500">SUM(X153:AB153)</f>
        <v>48043515.219999999</v>
      </c>
      <c r="AD153" s="51">
        <f>41832314.12-AG153</f>
        <v>34272314.119999997</v>
      </c>
      <c r="AE153" s="51"/>
      <c r="AF153" s="51"/>
      <c r="AG153" s="51">
        <v>7560000</v>
      </c>
      <c r="AH153" s="51"/>
      <c r="AI153" s="52">
        <f t="shared" ref="AI153:AI154" si="501">SUM(AD153:AH153)</f>
        <v>41832314.119999997</v>
      </c>
      <c r="AJ153" s="51">
        <v>46672895.180000007</v>
      </c>
      <c r="AK153" s="51"/>
      <c r="AL153" s="51"/>
      <c r="AM153" s="51"/>
      <c r="AN153" s="51"/>
      <c r="AO153" s="52">
        <f t="shared" ref="AO153:AO154" si="502">SUM(AJ153:AN153)</f>
        <v>46672895.180000007</v>
      </c>
      <c r="AP153" s="51">
        <v>44842665.109999999</v>
      </c>
      <c r="AQ153" s="51"/>
      <c r="AR153" s="51"/>
      <c r="AS153" s="51"/>
      <c r="AT153" s="51"/>
      <c r="AU153" s="52">
        <f t="shared" ref="AU153:AU154" si="503">SUM(AP153:AT153)</f>
        <v>44842665.109999999</v>
      </c>
      <c r="AV153" s="51"/>
      <c r="AW153" s="51"/>
      <c r="AX153" s="51"/>
      <c r="AY153" s="51"/>
      <c r="AZ153" s="51"/>
      <c r="BA153" s="52">
        <f t="shared" ref="BA153:BA154" si="504">SUM(AV153:AZ153)</f>
        <v>0</v>
      </c>
      <c r="BB153" s="51"/>
      <c r="BC153" s="51"/>
      <c r="BD153" s="51"/>
      <c r="BE153" s="51"/>
      <c r="BF153" s="51"/>
      <c r="BG153" s="52">
        <f t="shared" ref="BG153:BG154" si="505">SUM(BB153:BF153)</f>
        <v>0</v>
      </c>
      <c r="BH153" s="51"/>
      <c r="BI153" s="51"/>
      <c r="BJ153" s="51"/>
      <c r="BK153" s="51"/>
      <c r="BL153" s="51"/>
      <c r="BM153" s="52">
        <f t="shared" ref="BM153:BM154" si="506">SUM(BH153:BL153)</f>
        <v>0</v>
      </c>
      <c r="BN153" s="51"/>
      <c r="BO153" s="51"/>
      <c r="BP153" s="51"/>
      <c r="BQ153" s="51"/>
      <c r="BR153" s="51"/>
      <c r="BS153" s="52">
        <f t="shared" ref="BS153:BS154" si="507">SUM(BN153:BR153)</f>
        <v>0</v>
      </c>
      <c r="BT153" s="51"/>
      <c r="BU153" s="51"/>
      <c r="BV153" s="51"/>
      <c r="BW153" s="51"/>
      <c r="BX153" s="51"/>
      <c r="BY153" s="52">
        <f t="shared" ref="BY153:BY154" si="508">SUM(BT153:BX153)</f>
        <v>0</v>
      </c>
      <c r="BZ153" s="51"/>
      <c r="CA153" s="51"/>
      <c r="CB153" s="51"/>
      <c r="CC153" s="51"/>
      <c r="CD153" s="51"/>
      <c r="CE153" s="52">
        <f t="shared" ref="CE153:CE154" si="509">SUM(BZ153:CD153)</f>
        <v>0</v>
      </c>
      <c r="CF153" s="51"/>
      <c r="CG153" s="51"/>
      <c r="CH153" s="51"/>
      <c r="CI153" s="51"/>
      <c r="CJ153" s="51"/>
      <c r="CK153" s="52">
        <f t="shared" ref="CK153:CK154" si="510">SUM(CF153:CJ153)</f>
        <v>0</v>
      </c>
      <c r="CL153" s="35">
        <f t="shared" ref="CL153:CQ154" si="511">+R153+X153+AD153+AJ153+AP153+AV153+BB153+BH153+BN153+BT153+BZ153+CF153</f>
        <v>209366927.18000001</v>
      </c>
      <c r="CM153" s="35">
        <f t="shared" si="511"/>
        <v>0</v>
      </c>
      <c r="CN153" s="35">
        <f t="shared" si="511"/>
        <v>0</v>
      </c>
      <c r="CO153" s="35">
        <f t="shared" si="511"/>
        <v>14079000</v>
      </c>
      <c r="CP153" s="35">
        <f t="shared" si="511"/>
        <v>0</v>
      </c>
      <c r="CQ153" s="35">
        <f t="shared" si="511"/>
        <v>223445927.18000001</v>
      </c>
      <c r="CR153" s="37">
        <f t="shared" ref="CR153:CR154" si="512">+W153</f>
        <v>42054537.549999997</v>
      </c>
      <c r="CS153" s="39">
        <f t="shared" ref="CS153:CS154" si="513">+AC153</f>
        <v>48043515.219999999</v>
      </c>
      <c r="CT153" s="53">
        <f t="shared" ref="CT153:CT154" si="514">+AI153</f>
        <v>41832314.119999997</v>
      </c>
      <c r="CU153" s="39">
        <f t="shared" ref="CU153:CU154" si="515">+AO153</f>
        <v>46672895.180000007</v>
      </c>
      <c r="CV153" s="39">
        <f t="shared" ref="CV153:CV154" si="516">+AU153</f>
        <v>44842665.109999999</v>
      </c>
      <c r="CW153" s="39">
        <f t="shared" ref="CW153:CW154" si="517">+BA153</f>
        <v>0</v>
      </c>
      <c r="CX153" s="39">
        <f t="shared" ref="CX153:CX154" si="518">+BG153</f>
        <v>0</v>
      </c>
      <c r="CY153" s="39">
        <f t="shared" ref="CY153:CY154" si="519">+BM153</f>
        <v>0</v>
      </c>
      <c r="CZ153" s="39">
        <f t="shared" ref="CZ153:CZ154" si="520">+BS153</f>
        <v>0</v>
      </c>
      <c r="DA153" s="39">
        <f t="shared" ref="DA153:DA154" si="521">+BY153</f>
        <v>0</v>
      </c>
      <c r="DB153" s="39">
        <f t="shared" ref="DB153:DB154" si="522">+CE153</f>
        <v>0</v>
      </c>
      <c r="DC153" s="39">
        <f t="shared" ref="DC153:DC154" si="523">+CK153</f>
        <v>0</v>
      </c>
      <c r="DD153" s="39">
        <f>+HLOOKUP('Reporte Evolución Mensual'!$F$2-2,$CR$2:$DC$251, Input!$DG153, FALSE)</f>
        <v>103250.6</v>
      </c>
      <c r="DE153" s="39">
        <f>+HLOOKUP('Reporte Evolución Mensual'!$F$2-1,$CR$2:$DC$251, Input!$DG153, FALSE)</f>
        <v>170934.27999999997</v>
      </c>
      <c r="DF153" s="39">
        <f>+HLOOKUP('Reporte Evolución Mensual'!$F$2,$CR$2:$DC$251, Input!$DG153, FALSE)</f>
        <v>309047.62</v>
      </c>
      <c r="DG153" s="40">
        <f t="shared" si="479"/>
        <v>153</v>
      </c>
      <c r="DH153" s="39"/>
      <c r="DI153" s="39"/>
      <c r="DJ153" s="39"/>
      <c r="DK153" s="39"/>
      <c r="DL153" s="39"/>
      <c r="DM153" s="39"/>
      <c r="DN153" s="39"/>
      <c r="DO153" s="58"/>
      <c r="DP153" s="58"/>
      <c r="DQ153" s="58"/>
      <c r="DR153" s="58"/>
      <c r="DS153" s="1"/>
      <c r="DT153" s="1"/>
      <c r="DU153" s="1"/>
      <c r="DV153" s="345"/>
    </row>
    <row r="154" spans="1:126" ht="15" customHeight="1" x14ac:dyDescent="0.3">
      <c r="A154" s="1" t="str">
        <f t="shared" si="419"/>
        <v>ADIFSE</v>
      </c>
      <c r="B154" s="1" t="str">
        <f t="shared" si="420"/>
        <v>ADIFSE</v>
      </c>
      <c r="C154" s="1" t="str">
        <f t="shared" si="421"/>
        <v>MAY</v>
      </c>
      <c r="D154" s="1" t="s">
        <v>163</v>
      </c>
      <c r="E154" s="113" t="str">
        <f>H154</f>
        <v>Bienes de Consumo</v>
      </c>
      <c r="F154" s="114">
        <v>2</v>
      </c>
      <c r="G154" s="1" t="s">
        <v>189</v>
      </c>
      <c r="H154" s="32" t="s">
        <v>192</v>
      </c>
      <c r="I154" s="32" t="s">
        <v>192</v>
      </c>
      <c r="J154" s="32" t="s">
        <v>289</v>
      </c>
      <c r="K154" s="38"/>
      <c r="L154" s="51"/>
      <c r="M154" s="51"/>
      <c r="N154" s="51"/>
      <c r="O154" s="51"/>
      <c r="P154" s="51"/>
      <c r="Q154" s="35">
        <f t="shared" si="498"/>
        <v>0</v>
      </c>
      <c r="R154" s="51">
        <v>142056.56</v>
      </c>
      <c r="S154" s="51"/>
      <c r="T154" s="51"/>
      <c r="U154" s="51"/>
      <c r="V154" s="51"/>
      <c r="W154" s="52">
        <f t="shared" si="499"/>
        <v>142056.56</v>
      </c>
      <c r="X154" s="51">
        <v>19288.810000000001</v>
      </c>
      <c r="Y154" s="51"/>
      <c r="Z154" s="51"/>
      <c r="AA154" s="51"/>
      <c r="AB154" s="51"/>
      <c r="AC154" s="52">
        <f t="shared" si="500"/>
        <v>19288.810000000001</v>
      </c>
      <c r="AD154" s="51">
        <v>103250.6</v>
      </c>
      <c r="AE154" s="51"/>
      <c r="AF154" s="51"/>
      <c r="AG154" s="51"/>
      <c r="AH154" s="51"/>
      <c r="AI154" s="52">
        <f t="shared" si="501"/>
        <v>103250.6</v>
      </c>
      <c r="AJ154" s="51">
        <v>170934.27999999997</v>
      </c>
      <c r="AK154" s="51"/>
      <c r="AL154" s="51"/>
      <c r="AM154" s="51"/>
      <c r="AN154" s="51"/>
      <c r="AO154" s="52">
        <f t="shared" si="502"/>
        <v>170934.27999999997</v>
      </c>
      <c r="AP154" s="51">
        <v>309047.62</v>
      </c>
      <c r="AQ154" s="51"/>
      <c r="AR154" s="51"/>
      <c r="AS154" s="51"/>
      <c r="AT154" s="51"/>
      <c r="AU154" s="52">
        <f t="shared" si="503"/>
        <v>309047.62</v>
      </c>
      <c r="AV154" s="51"/>
      <c r="AW154" s="51"/>
      <c r="AX154" s="51"/>
      <c r="AY154" s="51"/>
      <c r="AZ154" s="51"/>
      <c r="BA154" s="52">
        <f t="shared" si="504"/>
        <v>0</v>
      </c>
      <c r="BB154" s="51"/>
      <c r="BC154" s="51"/>
      <c r="BD154" s="51"/>
      <c r="BE154" s="51"/>
      <c r="BF154" s="51"/>
      <c r="BG154" s="52">
        <f t="shared" si="505"/>
        <v>0</v>
      </c>
      <c r="BH154" s="51"/>
      <c r="BI154" s="51"/>
      <c r="BJ154" s="51"/>
      <c r="BK154" s="51"/>
      <c r="BL154" s="51"/>
      <c r="BM154" s="52">
        <f t="shared" si="506"/>
        <v>0</v>
      </c>
      <c r="BN154" s="51"/>
      <c r="BO154" s="51"/>
      <c r="BP154" s="51"/>
      <c r="BQ154" s="51"/>
      <c r="BR154" s="51"/>
      <c r="BS154" s="52">
        <f t="shared" si="507"/>
        <v>0</v>
      </c>
      <c r="BT154" s="51"/>
      <c r="BU154" s="51"/>
      <c r="BV154" s="51"/>
      <c r="BW154" s="51"/>
      <c r="BX154" s="51"/>
      <c r="BY154" s="52">
        <f t="shared" si="508"/>
        <v>0</v>
      </c>
      <c r="BZ154" s="51"/>
      <c r="CA154" s="51"/>
      <c r="CB154" s="51"/>
      <c r="CC154" s="51"/>
      <c r="CD154" s="51"/>
      <c r="CE154" s="52">
        <f t="shared" si="509"/>
        <v>0</v>
      </c>
      <c r="CF154" s="51"/>
      <c r="CG154" s="51"/>
      <c r="CH154" s="51"/>
      <c r="CI154" s="51"/>
      <c r="CJ154" s="51"/>
      <c r="CK154" s="52">
        <f t="shared" si="510"/>
        <v>0</v>
      </c>
      <c r="CL154" s="35">
        <f t="shared" si="511"/>
        <v>744577.86999999988</v>
      </c>
      <c r="CM154" s="35">
        <f t="shared" si="511"/>
        <v>0</v>
      </c>
      <c r="CN154" s="35">
        <f t="shared" si="511"/>
        <v>0</v>
      </c>
      <c r="CO154" s="35">
        <f t="shared" si="511"/>
        <v>0</v>
      </c>
      <c r="CP154" s="35">
        <f t="shared" si="511"/>
        <v>0</v>
      </c>
      <c r="CQ154" s="35">
        <f t="shared" si="511"/>
        <v>744577.86999999988</v>
      </c>
      <c r="CR154" s="37">
        <f t="shared" si="512"/>
        <v>142056.56</v>
      </c>
      <c r="CS154" s="39">
        <f t="shared" si="513"/>
        <v>19288.810000000001</v>
      </c>
      <c r="CT154" s="53">
        <f t="shared" si="514"/>
        <v>103250.6</v>
      </c>
      <c r="CU154" s="39">
        <f t="shared" si="515"/>
        <v>170934.27999999997</v>
      </c>
      <c r="CV154" s="39">
        <f t="shared" si="516"/>
        <v>309047.62</v>
      </c>
      <c r="CW154" s="39">
        <f t="shared" si="517"/>
        <v>0</v>
      </c>
      <c r="CX154" s="39">
        <f t="shared" si="518"/>
        <v>0</v>
      </c>
      <c r="CY154" s="39">
        <f t="shared" si="519"/>
        <v>0</v>
      </c>
      <c r="CZ154" s="39">
        <f t="shared" si="520"/>
        <v>0</v>
      </c>
      <c r="DA154" s="39">
        <f t="shared" si="521"/>
        <v>0</v>
      </c>
      <c r="DB154" s="39">
        <f t="shared" si="522"/>
        <v>0</v>
      </c>
      <c r="DC154" s="39">
        <f t="shared" si="523"/>
        <v>0</v>
      </c>
      <c r="DD154" s="39">
        <f>+HLOOKUP('Reporte Evolución Mensual'!$F$2-2,$CR$2:$DC$251, Input!$DG154, FALSE)</f>
        <v>0</v>
      </c>
      <c r="DE154" s="39">
        <f>+HLOOKUP('Reporte Evolución Mensual'!$F$2-1,$CR$2:$DC$251, Input!$DG154, FALSE)</f>
        <v>0</v>
      </c>
      <c r="DF154" s="39">
        <f>+HLOOKUP('Reporte Evolución Mensual'!$F$2,$CR$2:$DC$251, Input!$DG154, FALSE)</f>
        <v>0</v>
      </c>
      <c r="DG154" s="40">
        <f t="shared" si="479"/>
        <v>154</v>
      </c>
      <c r="DH154" s="39"/>
      <c r="DI154" s="39"/>
      <c r="DJ154" s="39"/>
      <c r="DK154" s="39"/>
      <c r="DL154" s="39"/>
      <c r="DM154" s="39"/>
      <c r="DN154" s="39"/>
      <c r="DO154" s="58"/>
      <c r="DP154" s="58"/>
      <c r="DQ154" s="58"/>
      <c r="DR154" s="58"/>
      <c r="DS154" s="1"/>
      <c r="DT154" s="1"/>
      <c r="DU154" s="1"/>
      <c r="DV154" s="345" t="s">
        <v>163</v>
      </c>
    </row>
    <row r="155" spans="1:126" ht="15" customHeight="1" x14ac:dyDescent="0.3">
      <c r="A155" s="1" t="str">
        <f t="shared" si="419"/>
        <v>ADIFSE</v>
      </c>
      <c r="B155" s="1" t="str">
        <f t="shared" si="420"/>
        <v>ADIFSE</v>
      </c>
      <c r="C155" s="1" t="str">
        <f t="shared" si="421"/>
        <v>MAY</v>
      </c>
      <c r="D155" s="16" t="s">
        <v>108</v>
      </c>
      <c r="E155" s="119" t="s">
        <v>333</v>
      </c>
      <c r="F155" s="120"/>
      <c r="G155" s="16"/>
      <c r="H155" s="7"/>
      <c r="I155" s="7"/>
      <c r="J155" s="7"/>
      <c r="K155" s="38"/>
      <c r="L155" s="38"/>
      <c r="M155" s="38"/>
      <c r="N155" s="38"/>
      <c r="O155" s="38"/>
      <c r="P155" s="38"/>
      <c r="Q155" s="35"/>
      <c r="R155" s="38"/>
      <c r="S155" s="38"/>
      <c r="T155" s="38"/>
      <c r="U155" s="38"/>
      <c r="V155" s="38"/>
      <c r="W155" s="36"/>
      <c r="X155" s="38"/>
      <c r="Y155" s="38"/>
      <c r="Z155" s="38"/>
      <c r="AA155" s="38"/>
      <c r="AB155" s="38"/>
      <c r="AC155" s="36"/>
      <c r="AD155" s="38"/>
      <c r="AE155" s="38"/>
      <c r="AF155" s="38"/>
      <c r="AG155" s="38"/>
      <c r="AH155" s="38"/>
      <c r="AI155" s="36"/>
      <c r="AJ155" s="38"/>
      <c r="AK155" s="38"/>
      <c r="AL155" s="38"/>
      <c r="AM155" s="38"/>
      <c r="AN155" s="38"/>
      <c r="AO155" s="36"/>
      <c r="AP155" s="38"/>
      <c r="AQ155" s="38"/>
      <c r="AR155" s="38"/>
      <c r="AS155" s="38"/>
      <c r="AT155" s="38"/>
      <c r="AU155" s="36"/>
      <c r="AV155" s="38"/>
      <c r="AW155" s="38"/>
      <c r="AX155" s="38"/>
      <c r="AY155" s="38"/>
      <c r="AZ155" s="38"/>
      <c r="BA155" s="36"/>
      <c r="BB155" s="38"/>
      <c r="BC155" s="38"/>
      <c r="BD155" s="38"/>
      <c r="BE155" s="38"/>
      <c r="BF155" s="38"/>
      <c r="BG155" s="36"/>
      <c r="BH155" s="38"/>
      <c r="BI155" s="38"/>
      <c r="BJ155" s="38"/>
      <c r="BK155" s="38"/>
      <c r="BL155" s="38"/>
      <c r="BM155" s="36"/>
      <c r="BN155" s="38"/>
      <c r="BO155" s="38"/>
      <c r="BP155" s="38"/>
      <c r="BQ155" s="38"/>
      <c r="BR155" s="38"/>
      <c r="BS155" s="36"/>
      <c r="BT155" s="38"/>
      <c r="BU155" s="38"/>
      <c r="BV155" s="38"/>
      <c r="BW155" s="38"/>
      <c r="BX155" s="38"/>
      <c r="BY155" s="36"/>
      <c r="BZ155" s="38"/>
      <c r="CA155" s="38"/>
      <c r="CB155" s="38"/>
      <c r="CC155" s="38"/>
      <c r="CD155" s="38"/>
      <c r="CE155" s="36"/>
      <c r="CF155" s="38"/>
      <c r="CG155" s="38"/>
      <c r="CH155" s="38"/>
      <c r="CI155" s="38"/>
      <c r="CJ155" s="38"/>
      <c r="CK155" s="36"/>
      <c r="CL155" s="35"/>
      <c r="CM155" s="35"/>
      <c r="CN155" s="35"/>
      <c r="CO155" s="35"/>
      <c r="CP155" s="35"/>
      <c r="CQ155" s="35"/>
      <c r="CR155" s="37"/>
      <c r="CS155" s="37"/>
      <c r="CT155" s="37"/>
      <c r="CU155" s="37"/>
      <c r="CV155" s="37"/>
      <c r="CW155" s="37"/>
      <c r="CX155" s="37"/>
      <c r="CY155" s="37"/>
      <c r="CZ155" s="37"/>
      <c r="DA155" s="37"/>
      <c r="DB155" s="37"/>
      <c r="DC155" s="37"/>
      <c r="DD155" s="39">
        <f>+HLOOKUP('Reporte Evolución Mensual'!$F$2-2,$CR$2:$DC$251, Input!$DG155, FALSE)</f>
        <v>0</v>
      </c>
      <c r="DE155" s="39">
        <f>+HLOOKUP('Reporte Evolución Mensual'!$F$2-1,$CR$2:$DC$251, Input!$DG155, FALSE)</f>
        <v>0</v>
      </c>
      <c r="DF155" s="39">
        <f>+HLOOKUP('Reporte Evolución Mensual'!$F$2,$CR$2:$DC$251, Input!$DG155, FALSE)</f>
        <v>0</v>
      </c>
      <c r="DG155" s="40">
        <f t="shared" si="479"/>
        <v>155</v>
      </c>
      <c r="DH155" s="37"/>
      <c r="DI155" s="37"/>
      <c r="DJ155" s="37"/>
      <c r="DK155" s="37"/>
      <c r="DL155" s="37"/>
      <c r="DM155" s="37"/>
      <c r="DN155" s="37"/>
      <c r="DO155" s="63"/>
      <c r="DP155" s="63"/>
      <c r="DQ155" s="63"/>
      <c r="DR155" s="63"/>
      <c r="DS155" s="16"/>
      <c r="DT155" s="16"/>
      <c r="DU155" s="16"/>
      <c r="DV155" s="345" t="s">
        <v>163</v>
      </c>
    </row>
    <row r="156" spans="1:126" ht="15" customHeight="1" x14ac:dyDescent="0.3">
      <c r="A156" s="1" t="str">
        <f t="shared" si="419"/>
        <v>ADIFSE</v>
      </c>
      <c r="B156" s="1" t="str">
        <f t="shared" si="420"/>
        <v>ADIFSE</v>
      </c>
      <c r="C156" s="1" t="str">
        <f t="shared" si="421"/>
        <v>MAY</v>
      </c>
      <c r="D156" s="16" t="s">
        <v>108</v>
      </c>
      <c r="E156" s="121" t="s">
        <v>193</v>
      </c>
      <c r="F156" s="120"/>
      <c r="G156" s="16"/>
      <c r="H156" s="7"/>
      <c r="I156" s="7"/>
      <c r="J156" s="7"/>
      <c r="K156" s="38"/>
      <c r="L156" s="38"/>
      <c r="M156" s="38"/>
      <c r="N156" s="38"/>
      <c r="O156" s="38"/>
      <c r="P156" s="38"/>
      <c r="Q156" s="35"/>
      <c r="R156" s="38"/>
      <c r="S156" s="38"/>
      <c r="T156" s="38"/>
      <c r="U156" s="38"/>
      <c r="V156" s="38"/>
      <c r="W156" s="36"/>
      <c r="X156" s="38"/>
      <c r="Y156" s="38"/>
      <c r="Z156" s="38"/>
      <c r="AA156" s="38"/>
      <c r="AB156" s="38"/>
      <c r="AC156" s="36"/>
      <c r="AD156" s="38"/>
      <c r="AE156" s="38"/>
      <c r="AF156" s="38"/>
      <c r="AG156" s="38"/>
      <c r="AH156" s="38"/>
      <c r="AI156" s="36"/>
      <c r="AJ156" s="38"/>
      <c r="AK156" s="38"/>
      <c r="AL156" s="38"/>
      <c r="AM156" s="38"/>
      <c r="AN156" s="38"/>
      <c r="AO156" s="36"/>
      <c r="AP156" s="38"/>
      <c r="AQ156" s="38"/>
      <c r="AR156" s="38"/>
      <c r="AS156" s="38"/>
      <c r="AT156" s="38"/>
      <c r="AU156" s="36"/>
      <c r="AV156" s="38"/>
      <c r="AW156" s="38"/>
      <c r="AX156" s="38"/>
      <c r="AY156" s="38"/>
      <c r="AZ156" s="38"/>
      <c r="BA156" s="36"/>
      <c r="BB156" s="38"/>
      <c r="BC156" s="38"/>
      <c r="BD156" s="38"/>
      <c r="BE156" s="38"/>
      <c r="BF156" s="38"/>
      <c r="BG156" s="36"/>
      <c r="BH156" s="38"/>
      <c r="BI156" s="38"/>
      <c r="BJ156" s="38"/>
      <c r="BK156" s="38"/>
      <c r="BL156" s="38"/>
      <c r="BM156" s="36"/>
      <c r="BN156" s="38"/>
      <c r="BO156" s="38"/>
      <c r="BP156" s="38"/>
      <c r="BQ156" s="38"/>
      <c r="BR156" s="38"/>
      <c r="BS156" s="36"/>
      <c r="BT156" s="38"/>
      <c r="BU156" s="38"/>
      <c r="BV156" s="38"/>
      <c r="BW156" s="38"/>
      <c r="BX156" s="38"/>
      <c r="BY156" s="36"/>
      <c r="BZ156" s="38"/>
      <c r="CA156" s="38"/>
      <c r="CB156" s="38"/>
      <c r="CC156" s="38"/>
      <c r="CD156" s="38"/>
      <c r="CE156" s="36"/>
      <c r="CF156" s="38"/>
      <c r="CG156" s="38"/>
      <c r="CH156" s="38"/>
      <c r="CI156" s="38"/>
      <c r="CJ156" s="38"/>
      <c r="CK156" s="36"/>
      <c r="CL156" s="35"/>
      <c r="CM156" s="35"/>
      <c r="CN156" s="35"/>
      <c r="CO156" s="35"/>
      <c r="CP156" s="35"/>
      <c r="CQ156" s="35"/>
      <c r="CR156" s="37"/>
      <c r="CS156" s="39"/>
      <c r="CT156" s="53"/>
      <c r="CU156" s="39"/>
      <c r="CV156" s="39"/>
      <c r="CW156" s="39"/>
      <c r="CX156" s="39"/>
      <c r="CY156" s="39"/>
      <c r="CZ156" s="39"/>
      <c r="DA156" s="39"/>
      <c r="DB156" s="39"/>
      <c r="DC156" s="39"/>
      <c r="DD156" s="39">
        <f>+HLOOKUP('Reporte Evolución Mensual'!$F$2-2,$CR$2:$DC$251, Input!$DG156, FALSE)</f>
        <v>877080.84</v>
      </c>
      <c r="DE156" s="39">
        <f>+HLOOKUP('Reporte Evolución Mensual'!$F$2-1,$CR$2:$DC$251, Input!$DG156, FALSE)</f>
        <v>454971.68000000005</v>
      </c>
      <c r="DF156" s="39">
        <f>+HLOOKUP('Reporte Evolución Mensual'!$F$2,$CR$2:$DC$251, Input!$DG156, FALSE)</f>
        <v>847644.54</v>
      </c>
      <c r="DG156" s="40">
        <f t="shared" si="479"/>
        <v>156</v>
      </c>
      <c r="DH156" s="37"/>
      <c r="DI156" s="37"/>
      <c r="DJ156" s="37"/>
      <c r="DK156" s="37"/>
      <c r="DL156" s="37"/>
      <c r="DM156" s="37"/>
      <c r="DN156" s="37"/>
      <c r="DO156" s="63"/>
      <c r="DP156" s="63"/>
      <c r="DQ156" s="63"/>
      <c r="DR156" s="63"/>
      <c r="DS156" s="16"/>
      <c r="DT156" s="16"/>
      <c r="DU156" s="16"/>
      <c r="DV156" s="345"/>
    </row>
    <row r="157" spans="1:126" ht="15" customHeight="1" x14ac:dyDescent="0.3">
      <c r="A157" s="1" t="str">
        <f t="shared" si="419"/>
        <v>ADIFSE</v>
      </c>
      <c r="B157" s="1" t="str">
        <f t="shared" si="420"/>
        <v>ADIFSE</v>
      </c>
      <c r="C157" s="1" t="str">
        <f t="shared" si="421"/>
        <v>MAY</v>
      </c>
      <c r="D157" s="1" t="s">
        <v>163</v>
      </c>
      <c r="E157" s="118" t="str">
        <f t="shared" ref="E157:E166" si="524">CONCATENATE(H157," - ",I157)</f>
        <v>Servicios - Servicios Básicos</v>
      </c>
      <c r="F157" s="114">
        <v>31</v>
      </c>
      <c r="G157" s="1" t="s">
        <v>189</v>
      </c>
      <c r="H157" s="32" t="s">
        <v>193</v>
      </c>
      <c r="I157" s="32" t="s">
        <v>194</v>
      </c>
      <c r="J157" s="32" t="s">
        <v>289</v>
      </c>
      <c r="K157" s="38"/>
      <c r="L157" s="51"/>
      <c r="M157" s="51"/>
      <c r="N157" s="51"/>
      <c r="O157" s="51"/>
      <c r="P157" s="51"/>
      <c r="Q157" s="35">
        <f t="shared" ref="Q157:Q165" si="525">SUM(L157:P157)</f>
        <v>0</v>
      </c>
      <c r="R157" s="51">
        <v>332655.63</v>
      </c>
      <c r="S157" s="51"/>
      <c r="T157" s="51"/>
      <c r="U157" s="51"/>
      <c r="V157" s="51"/>
      <c r="W157" s="52">
        <f t="shared" ref="W157:W165" si="526">SUM(R157:V157)</f>
        <v>332655.63</v>
      </c>
      <c r="X157" s="51"/>
      <c r="Y157" s="51"/>
      <c r="Z157" s="51"/>
      <c r="AA157" s="51">
        <v>166273.04999999999</v>
      </c>
      <c r="AB157" s="51"/>
      <c r="AC157" s="52">
        <f t="shared" ref="AC157:AC165" si="527">SUM(X157:AB157)</f>
        <v>166273.04999999999</v>
      </c>
      <c r="AD157" s="51">
        <v>438540.42</v>
      </c>
      <c r="AE157" s="51"/>
      <c r="AF157" s="51"/>
      <c r="AG157" s="51">
        <v>438540.42</v>
      </c>
      <c r="AH157" s="51"/>
      <c r="AI157" s="52">
        <f t="shared" ref="AI157:AI165" si="528">SUM(AD157:AH157)</f>
        <v>877080.84</v>
      </c>
      <c r="AJ157" s="51">
        <v>454971.68000000005</v>
      </c>
      <c r="AK157" s="51"/>
      <c r="AL157" s="51"/>
      <c r="AM157" s="51"/>
      <c r="AN157" s="51"/>
      <c r="AO157" s="52">
        <f t="shared" ref="AO157:AO165" si="529">SUM(AJ157:AN157)</f>
        <v>454971.68000000005</v>
      </c>
      <c r="AP157" s="51">
        <v>847644.54</v>
      </c>
      <c r="AQ157" s="51"/>
      <c r="AR157" s="51"/>
      <c r="AS157" s="51"/>
      <c r="AT157" s="51"/>
      <c r="AU157" s="52">
        <f t="shared" ref="AU157:AU165" si="530">SUM(AP157:AT157)</f>
        <v>847644.54</v>
      </c>
      <c r="AV157" s="51"/>
      <c r="AW157" s="51"/>
      <c r="AX157" s="51"/>
      <c r="AY157" s="51"/>
      <c r="AZ157" s="51"/>
      <c r="BA157" s="52">
        <f t="shared" ref="BA157:BA165" si="531">SUM(AV157:AZ157)</f>
        <v>0</v>
      </c>
      <c r="BB157" s="51"/>
      <c r="BC157" s="51"/>
      <c r="BD157" s="51"/>
      <c r="BE157" s="51"/>
      <c r="BF157" s="51"/>
      <c r="BG157" s="52">
        <f t="shared" ref="BG157:BG165" si="532">SUM(BB157:BF157)</f>
        <v>0</v>
      </c>
      <c r="BH157" s="51"/>
      <c r="BI157" s="51"/>
      <c r="BJ157" s="51"/>
      <c r="BK157" s="51"/>
      <c r="BL157" s="51"/>
      <c r="BM157" s="52">
        <f t="shared" ref="BM157:BM165" si="533">SUM(BH157:BL157)</f>
        <v>0</v>
      </c>
      <c r="BN157" s="51"/>
      <c r="BO157" s="51"/>
      <c r="BP157" s="51"/>
      <c r="BQ157" s="51"/>
      <c r="BR157" s="51"/>
      <c r="BS157" s="52">
        <f t="shared" ref="BS157:BS165" si="534">SUM(BN157:BR157)</f>
        <v>0</v>
      </c>
      <c r="BT157" s="51"/>
      <c r="BU157" s="51"/>
      <c r="BV157" s="51"/>
      <c r="BW157" s="51"/>
      <c r="BX157" s="51"/>
      <c r="BY157" s="52">
        <f t="shared" ref="BY157:BY165" si="535">SUM(BT157:BX157)</f>
        <v>0</v>
      </c>
      <c r="BZ157" s="51"/>
      <c r="CA157" s="51"/>
      <c r="CB157" s="51"/>
      <c r="CC157" s="51"/>
      <c r="CD157" s="51"/>
      <c r="CE157" s="52">
        <f t="shared" ref="CE157:CE165" si="536">SUM(BZ157:CD157)</f>
        <v>0</v>
      </c>
      <c r="CF157" s="51"/>
      <c r="CG157" s="51"/>
      <c r="CH157" s="51"/>
      <c r="CI157" s="51"/>
      <c r="CJ157" s="51"/>
      <c r="CK157" s="52">
        <f t="shared" ref="CK157:CK165" si="537">SUM(CF157:CJ157)</f>
        <v>0</v>
      </c>
      <c r="CL157" s="35">
        <f t="shared" ref="CL157:CQ166" si="538">+R157+X157+AD157+AJ157+AP157+AV157+BB157+BH157+BN157+BT157+BZ157+CF157</f>
        <v>2073812.27</v>
      </c>
      <c r="CM157" s="35">
        <f t="shared" si="538"/>
        <v>0</v>
      </c>
      <c r="CN157" s="35">
        <f t="shared" si="538"/>
        <v>0</v>
      </c>
      <c r="CO157" s="35">
        <f t="shared" si="538"/>
        <v>604813.47</v>
      </c>
      <c r="CP157" s="35">
        <f t="shared" si="538"/>
        <v>0</v>
      </c>
      <c r="CQ157" s="35">
        <f t="shared" si="538"/>
        <v>2678625.7400000002</v>
      </c>
      <c r="CR157" s="37">
        <f t="shared" ref="CR157:CR166" si="539">+W157</f>
        <v>332655.63</v>
      </c>
      <c r="CS157" s="39">
        <f t="shared" ref="CS157:CS166" si="540">+AC157</f>
        <v>166273.04999999999</v>
      </c>
      <c r="CT157" s="53">
        <f t="shared" ref="CT157:CT166" si="541">+AI157</f>
        <v>877080.84</v>
      </c>
      <c r="CU157" s="39">
        <f t="shared" ref="CU157:CU166" si="542">+AO157</f>
        <v>454971.68000000005</v>
      </c>
      <c r="CV157" s="39">
        <f t="shared" ref="CV157:CV166" si="543">+AU157</f>
        <v>847644.54</v>
      </c>
      <c r="CW157" s="39">
        <f t="shared" ref="CW157:CW166" si="544">+BA157</f>
        <v>0</v>
      </c>
      <c r="CX157" s="39">
        <f t="shared" ref="CX157:CX166" si="545">+BG157</f>
        <v>0</v>
      </c>
      <c r="CY157" s="39">
        <f t="shared" ref="CY157:CY166" si="546">+BM157</f>
        <v>0</v>
      </c>
      <c r="CZ157" s="39">
        <f t="shared" ref="CZ157:CZ166" si="547">+BS157</f>
        <v>0</v>
      </c>
      <c r="DA157" s="39">
        <f t="shared" ref="DA157:DA166" si="548">+BY157</f>
        <v>0</v>
      </c>
      <c r="DB157" s="39">
        <f t="shared" ref="DB157:DB166" si="549">+CE157</f>
        <v>0</v>
      </c>
      <c r="DC157" s="39">
        <f t="shared" ref="DC157:DC166" si="550">+CK157</f>
        <v>0</v>
      </c>
      <c r="DD157" s="39">
        <f>+HLOOKUP('Reporte Evolución Mensual'!$F$2-2,$CR$2:$DC$251, Input!$DG157, FALSE)</f>
        <v>1205457.32</v>
      </c>
      <c r="DE157" s="39">
        <f>+HLOOKUP('Reporte Evolución Mensual'!$F$2-1,$CR$2:$DC$251, Input!$DG157, FALSE)</f>
        <v>313196.95</v>
      </c>
      <c r="DF157" s="39">
        <f>+HLOOKUP('Reporte Evolución Mensual'!$F$2,$CR$2:$DC$251, Input!$DG157, FALSE)</f>
        <v>93843.07</v>
      </c>
      <c r="DG157" s="40">
        <f t="shared" si="479"/>
        <v>157</v>
      </c>
      <c r="DH157" s="39"/>
      <c r="DI157" s="39"/>
      <c r="DJ157" s="39"/>
      <c r="DK157" s="39"/>
      <c r="DL157" s="39"/>
      <c r="DM157" s="39"/>
      <c r="DN157" s="39"/>
      <c r="DO157" s="58"/>
      <c r="DP157" s="58"/>
      <c r="DQ157" s="58"/>
      <c r="DR157" s="58"/>
      <c r="DS157" s="1"/>
      <c r="DT157" s="1"/>
      <c r="DU157" s="1"/>
      <c r="DV157" s="345"/>
    </row>
    <row r="158" spans="1:126" ht="15" customHeight="1" x14ac:dyDescent="0.3">
      <c r="A158" s="1" t="str">
        <f t="shared" si="419"/>
        <v>ADIFSE</v>
      </c>
      <c r="B158" s="1" t="str">
        <f t="shared" si="420"/>
        <v>ADIFSE</v>
      </c>
      <c r="C158" s="1" t="str">
        <f t="shared" si="421"/>
        <v>MAY</v>
      </c>
      <c r="D158" s="1" t="s">
        <v>163</v>
      </c>
      <c r="E158" s="118" t="str">
        <f t="shared" si="524"/>
        <v>Servicios - Alquileres y Derechos</v>
      </c>
      <c r="F158" s="114">
        <v>32</v>
      </c>
      <c r="G158" s="1" t="s">
        <v>189</v>
      </c>
      <c r="H158" s="32" t="s">
        <v>193</v>
      </c>
      <c r="I158" s="32" t="s">
        <v>195</v>
      </c>
      <c r="J158" s="32" t="s">
        <v>289</v>
      </c>
      <c r="K158" s="38"/>
      <c r="L158" s="51"/>
      <c r="M158" s="51"/>
      <c r="N158" s="51"/>
      <c r="O158" s="51"/>
      <c r="P158" s="51"/>
      <c r="Q158" s="35">
        <f t="shared" si="525"/>
        <v>0</v>
      </c>
      <c r="R158" s="51">
        <v>357472.18</v>
      </c>
      <c r="S158" s="51"/>
      <c r="T158" s="51"/>
      <c r="U158" s="51"/>
      <c r="V158" s="51"/>
      <c r="W158" s="52">
        <f t="shared" si="526"/>
        <v>357472.18</v>
      </c>
      <c r="X158" s="448"/>
      <c r="Y158" s="51"/>
      <c r="Z158" s="51"/>
      <c r="AA158" s="448">
        <v>368215.33</v>
      </c>
      <c r="AB158" s="51"/>
      <c r="AC158" s="52">
        <f t="shared" si="527"/>
        <v>368215.33</v>
      </c>
      <c r="AD158" s="51">
        <v>602728.66</v>
      </c>
      <c r="AE158" s="51"/>
      <c r="AF158" s="51"/>
      <c r="AG158" s="51">
        <v>602728.66</v>
      </c>
      <c r="AH158" s="51"/>
      <c r="AI158" s="52">
        <f t="shared" si="528"/>
        <v>1205457.32</v>
      </c>
      <c r="AJ158" s="51">
        <v>313196.95</v>
      </c>
      <c r="AK158" s="51"/>
      <c r="AL158" s="51"/>
      <c r="AM158" s="51"/>
      <c r="AN158" s="51"/>
      <c r="AO158" s="52">
        <f t="shared" si="529"/>
        <v>313196.95</v>
      </c>
      <c r="AP158" s="51">
        <v>93843.07</v>
      </c>
      <c r="AQ158" s="51"/>
      <c r="AR158" s="51"/>
      <c r="AS158" s="51"/>
      <c r="AT158" s="51"/>
      <c r="AU158" s="52">
        <f t="shared" si="530"/>
        <v>93843.07</v>
      </c>
      <c r="AV158" s="51"/>
      <c r="AW158" s="51"/>
      <c r="AX158" s="51"/>
      <c r="AY158" s="51"/>
      <c r="AZ158" s="51"/>
      <c r="BA158" s="52">
        <f t="shared" si="531"/>
        <v>0</v>
      </c>
      <c r="BB158" s="51"/>
      <c r="BC158" s="51"/>
      <c r="BD158" s="51"/>
      <c r="BE158" s="51"/>
      <c r="BF158" s="51"/>
      <c r="BG158" s="52">
        <f t="shared" si="532"/>
        <v>0</v>
      </c>
      <c r="BH158" s="51"/>
      <c r="BI158" s="51"/>
      <c r="BJ158" s="51"/>
      <c r="BK158" s="51"/>
      <c r="BL158" s="51"/>
      <c r="BM158" s="52">
        <f t="shared" si="533"/>
        <v>0</v>
      </c>
      <c r="BN158" s="51"/>
      <c r="BO158" s="51"/>
      <c r="BP158" s="51"/>
      <c r="BQ158" s="51"/>
      <c r="BR158" s="51"/>
      <c r="BS158" s="52">
        <f t="shared" si="534"/>
        <v>0</v>
      </c>
      <c r="BT158" s="51"/>
      <c r="BU158" s="51"/>
      <c r="BV158" s="51"/>
      <c r="BW158" s="51"/>
      <c r="BX158" s="51"/>
      <c r="BY158" s="52">
        <f t="shared" si="535"/>
        <v>0</v>
      </c>
      <c r="BZ158" s="51"/>
      <c r="CA158" s="51"/>
      <c r="CB158" s="51"/>
      <c r="CC158" s="51"/>
      <c r="CD158" s="51"/>
      <c r="CE158" s="52">
        <f t="shared" si="536"/>
        <v>0</v>
      </c>
      <c r="CF158" s="51"/>
      <c r="CG158" s="51"/>
      <c r="CH158" s="51"/>
      <c r="CI158" s="51"/>
      <c r="CJ158" s="51"/>
      <c r="CK158" s="52">
        <f t="shared" si="537"/>
        <v>0</v>
      </c>
      <c r="CL158" s="35">
        <f t="shared" si="538"/>
        <v>1367240.86</v>
      </c>
      <c r="CM158" s="35">
        <f t="shared" si="538"/>
        <v>0</v>
      </c>
      <c r="CN158" s="35">
        <f t="shared" si="538"/>
        <v>0</v>
      </c>
      <c r="CO158" s="35">
        <f t="shared" si="538"/>
        <v>970943.99</v>
      </c>
      <c r="CP158" s="35">
        <f t="shared" si="538"/>
        <v>0</v>
      </c>
      <c r="CQ158" s="35">
        <f t="shared" si="538"/>
        <v>2338184.85</v>
      </c>
      <c r="CR158" s="37">
        <f t="shared" si="539"/>
        <v>357472.18</v>
      </c>
      <c r="CS158" s="39">
        <f t="shared" si="540"/>
        <v>368215.33</v>
      </c>
      <c r="CT158" s="53">
        <f t="shared" si="541"/>
        <v>1205457.32</v>
      </c>
      <c r="CU158" s="39">
        <f t="shared" si="542"/>
        <v>313196.95</v>
      </c>
      <c r="CV158" s="39">
        <f t="shared" si="543"/>
        <v>93843.07</v>
      </c>
      <c r="CW158" s="39">
        <f t="shared" si="544"/>
        <v>0</v>
      </c>
      <c r="CX158" s="39">
        <f t="shared" si="545"/>
        <v>0</v>
      </c>
      <c r="CY158" s="39">
        <f t="shared" si="546"/>
        <v>0</v>
      </c>
      <c r="CZ158" s="39">
        <f t="shared" si="547"/>
        <v>0</v>
      </c>
      <c r="DA158" s="39">
        <f t="shared" si="548"/>
        <v>0</v>
      </c>
      <c r="DB158" s="39">
        <f t="shared" si="549"/>
        <v>0</v>
      </c>
      <c r="DC158" s="39">
        <f t="shared" si="550"/>
        <v>0</v>
      </c>
      <c r="DD158" s="39">
        <f>+HLOOKUP('Reporte Evolución Mensual'!$F$2-2,$CR$2:$DC$251, Input!$DG158, FALSE)</f>
        <v>7517143.1399999997</v>
      </c>
      <c r="DE158" s="39">
        <f>+HLOOKUP('Reporte Evolución Mensual'!$F$2-1,$CR$2:$DC$251, Input!$DG158, FALSE)</f>
        <v>4376081.1900000004</v>
      </c>
      <c r="DF158" s="39">
        <f>+HLOOKUP('Reporte Evolución Mensual'!$F$2,$CR$2:$DC$251, Input!$DG158, FALSE)</f>
        <v>4683618.9399999995</v>
      </c>
      <c r="DG158" s="40">
        <f t="shared" si="479"/>
        <v>158</v>
      </c>
      <c r="DH158" s="39"/>
      <c r="DI158" s="39"/>
      <c r="DJ158" s="39"/>
      <c r="DK158" s="39"/>
      <c r="DL158" s="39"/>
      <c r="DM158" s="39"/>
      <c r="DN158" s="39"/>
      <c r="DO158" s="58"/>
      <c r="DP158" s="58"/>
      <c r="DQ158" s="58"/>
      <c r="DR158" s="58"/>
      <c r="DS158" s="1"/>
      <c r="DT158" s="1"/>
      <c r="DU158" s="1"/>
      <c r="DV158" s="345" t="s">
        <v>163</v>
      </c>
    </row>
    <row r="159" spans="1:126" ht="15" customHeight="1" x14ac:dyDescent="0.3">
      <c r="A159" s="1" t="str">
        <f t="shared" si="419"/>
        <v>ADIFSE</v>
      </c>
      <c r="B159" s="1" t="str">
        <f t="shared" si="420"/>
        <v>ADIFSE</v>
      </c>
      <c r="C159" s="1" t="str">
        <f t="shared" si="421"/>
        <v>MAY</v>
      </c>
      <c r="D159" s="1" t="s">
        <v>163</v>
      </c>
      <c r="E159" s="118" t="str">
        <f t="shared" si="524"/>
        <v>Servicios - Mantenimiento, Reparación y Limpieza</v>
      </c>
      <c r="F159" s="114">
        <v>33</v>
      </c>
      <c r="G159" s="1" t="s">
        <v>189</v>
      </c>
      <c r="H159" s="32" t="s">
        <v>193</v>
      </c>
      <c r="I159" s="32" t="s">
        <v>196</v>
      </c>
      <c r="J159" s="32" t="s">
        <v>289</v>
      </c>
      <c r="K159" s="38"/>
      <c r="L159" s="51"/>
      <c r="M159" s="51"/>
      <c r="N159" s="51"/>
      <c r="O159" s="51"/>
      <c r="P159" s="51"/>
      <c r="Q159" s="35">
        <f t="shared" si="525"/>
        <v>0</v>
      </c>
      <c r="R159" s="51">
        <v>4239419.29</v>
      </c>
      <c r="S159" s="51"/>
      <c r="T159" s="51"/>
      <c r="U159" s="51"/>
      <c r="V159" s="51"/>
      <c r="W159" s="52">
        <f t="shared" si="526"/>
        <v>4239419.29</v>
      </c>
      <c r="X159" s="51"/>
      <c r="Y159" s="51"/>
      <c r="Z159" s="51"/>
      <c r="AA159" s="51">
        <v>5712397.2000000002</v>
      </c>
      <c r="AB159" s="51"/>
      <c r="AC159" s="52">
        <f t="shared" si="527"/>
        <v>5712397.2000000002</v>
      </c>
      <c r="AD159" s="51">
        <v>3758571.57</v>
      </c>
      <c r="AE159" s="51"/>
      <c r="AF159" s="51"/>
      <c r="AG159" s="51">
        <v>3758571.57</v>
      </c>
      <c r="AH159" s="51"/>
      <c r="AI159" s="52">
        <f t="shared" si="528"/>
        <v>7517143.1399999997</v>
      </c>
      <c r="AJ159" s="51">
        <v>4376081.1900000004</v>
      </c>
      <c r="AK159" s="51"/>
      <c r="AL159" s="51"/>
      <c r="AM159" s="51"/>
      <c r="AN159" s="51"/>
      <c r="AO159" s="52">
        <f t="shared" si="529"/>
        <v>4376081.1900000004</v>
      </c>
      <c r="AP159" s="51">
        <v>4683618.9399999995</v>
      </c>
      <c r="AQ159" s="51"/>
      <c r="AR159" s="51"/>
      <c r="AS159" s="51"/>
      <c r="AT159" s="51"/>
      <c r="AU159" s="52">
        <f t="shared" si="530"/>
        <v>4683618.9399999995</v>
      </c>
      <c r="AV159" s="51"/>
      <c r="AW159" s="51"/>
      <c r="AX159" s="51"/>
      <c r="AY159" s="51"/>
      <c r="AZ159" s="51"/>
      <c r="BA159" s="52">
        <f t="shared" si="531"/>
        <v>0</v>
      </c>
      <c r="BB159" s="51"/>
      <c r="BC159" s="51"/>
      <c r="BD159" s="51"/>
      <c r="BE159" s="51"/>
      <c r="BF159" s="51"/>
      <c r="BG159" s="52">
        <f t="shared" si="532"/>
        <v>0</v>
      </c>
      <c r="BH159" s="51"/>
      <c r="BI159" s="51"/>
      <c r="BJ159" s="51"/>
      <c r="BK159" s="51"/>
      <c r="BL159" s="51"/>
      <c r="BM159" s="52">
        <f t="shared" si="533"/>
        <v>0</v>
      </c>
      <c r="BN159" s="51"/>
      <c r="BO159" s="51"/>
      <c r="BP159" s="51"/>
      <c r="BQ159" s="51"/>
      <c r="BR159" s="51"/>
      <c r="BS159" s="52">
        <f t="shared" si="534"/>
        <v>0</v>
      </c>
      <c r="BT159" s="51"/>
      <c r="BU159" s="51"/>
      <c r="BV159" s="51"/>
      <c r="BW159" s="51"/>
      <c r="BX159" s="51"/>
      <c r="BY159" s="52">
        <f t="shared" si="535"/>
        <v>0</v>
      </c>
      <c r="BZ159" s="51"/>
      <c r="CA159" s="51"/>
      <c r="CB159" s="51"/>
      <c r="CC159" s="51"/>
      <c r="CD159" s="51"/>
      <c r="CE159" s="52">
        <f t="shared" si="536"/>
        <v>0</v>
      </c>
      <c r="CF159" s="51"/>
      <c r="CG159" s="51"/>
      <c r="CH159" s="51"/>
      <c r="CI159" s="51"/>
      <c r="CJ159" s="51"/>
      <c r="CK159" s="52">
        <f t="shared" si="537"/>
        <v>0</v>
      </c>
      <c r="CL159" s="35">
        <f t="shared" si="538"/>
        <v>17057690.990000002</v>
      </c>
      <c r="CM159" s="35">
        <f t="shared" si="538"/>
        <v>0</v>
      </c>
      <c r="CN159" s="35">
        <f t="shared" si="538"/>
        <v>0</v>
      </c>
      <c r="CO159" s="35">
        <f t="shared" si="538"/>
        <v>9470968.7699999996</v>
      </c>
      <c r="CP159" s="35">
        <f t="shared" si="538"/>
        <v>0</v>
      </c>
      <c r="CQ159" s="35">
        <f t="shared" si="538"/>
        <v>26528659.759999998</v>
      </c>
      <c r="CR159" s="37">
        <f t="shared" si="539"/>
        <v>4239419.29</v>
      </c>
      <c r="CS159" s="39">
        <f t="shared" si="540"/>
        <v>5712397.2000000002</v>
      </c>
      <c r="CT159" s="53">
        <f t="shared" si="541"/>
        <v>7517143.1399999997</v>
      </c>
      <c r="CU159" s="39">
        <f t="shared" si="542"/>
        <v>4376081.1900000004</v>
      </c>
      <c r="CV159" s="39">
        <f t="shared" si="543"/>
        <v>4683618.9399999995</v>
      </c>
      <c r="CW159" s="39">
        <f t="shared" si="544"/>
        <v>0</v>
      </c>
      <c r="CX159" s="39">
        <f t="shared" si="545"/>
        <v>0</v>
      </c>
      <c r="CY159" s="39">
        <f t="shared" si="546"/>
        <v>0</v>
      </c>
      <c r="CZ159" s="39">
        <f t="shared" si="547"/>
        <v>0</v>
      </c>
      <c r="DA159" s="39">
        <f t="shared" si="548"/>
        <v>0</v>
      </c>
      <c r="DB159" s="39">
        <f t="shared" si="549"/>
        <v>0</v>
      </c>
      <c r="DC159" s="39">
        <f t="shared" si="550"/>
        <v>0</v>
      </c>
      <c r="DD159" s="39">
        <f>+HLOOKUP('Reporte Evolución Mensual'!$F$2-2,$CR$2:$DC$251, Input!$DG159, FALSE)</f>
        <v>2299173.7399999998</v>
      </c>
      <c r="DE159" s="39">
        <f>+HLOOKUP('Reporte Evolución Mensual'!$F$2-1,$CR$2:$DC$251, Input!$DG159, FALSE)</f>
        <v>1496433.65</v>
      </c>
      <c r="DF159" s="39">
        <f>+HLOOKUP('Reporte Evolución Mensual'!$F$2,$CR$2:$DC$251, Input!$DG159, FALSE)</f>
        <v>1930504.28</v>
      </c>
      <c r="DG159" s="40">
        <f t="shared" si="479"/>
        <v>159</v>
      </c>
      <c r="DH159" s="39"/>
      <c r="DI159" s="39"/>
      <c r="DJ159" s="39"/>
      <c r="DK159" s="39"/>
      <c r="DL159" s="39"/>
      <c r="DM159" s="39"/>
      <c r="DN159" s="39"/>
      <c r="DO159" s="58"/>
      <c r="DP159" s="58"/>
      <c r="DQ159" s="58"/>
      <c r="DR159" s="58"/>
      <c r="DS159" s="1"/>
      <c r="DT159" s="1"/>
      <c r="DU159" s="1"/>
      <c r="DV159" s="345" t="s">
        <v>163</v>
      </c>
    </row>
    <row r="160" spans="1:126" ht="15" customHeight="1" x14ac:dyDescent="0.3">
      <c r="A160" s="1" t="str">
        <f t="shared" si="419"/>
        <v>ADIFSE</v>
      </c>
      <c r="B160" s="1" t="str">
        <f t="shared" si="420"/>
        <v>ADIFSE</v>
      </c>
      <c r="C160" s="1" t="str">
        <f t="shared" si="421"/>
        <v>MAY</v>
      </c>
      <c r="D160" s="1" t="s">
        <v>163</v>
      </c>
      <c r="E160" s="118" t="str">
        <f t="shared" si="524"/>
        <v>Servicios - Técnicos y Profesionales</v>
      </c>
      <c r="F160" s="114">
        <v>34</v>
      </c>
      <c r="G160" s="1" t="s">
        <v>189</v>
      </c>
      <c r="H160" s="32" t="s">
        <v>193</v>
      </c>
      <c r="I160" s="32" t="s">
        <v>197</v>
      </c>
      <c r="J160" s="32" t="s">
        <v>289</v>
      </c>
      <c r="K160" s="38"/>
      <c r="L160" s="51"/>
      <c r="M160" s="51"/>
      <c r="N160" s="51"/>
      <c r="O160" s="51"/>
      <c r="P160" s="51"/>
      <c r="Q160" s="35">
        <f t="shared" si="525"/>
        <v>0</v>
      </c>
      <c r="R160" s="51">
        <v>859085.24</v>
      </c>
      <c r="S160" s="51"/>
      <c r="T160" s="51"/>
      <c r="U160" s="51"/>
      <c r="V160" s="51"/>
      <c r="W160" s="52">
        <f t="shared" si="526"/>
        <v>859085.24</v>
      </c>
      <c r="X160" s="51"/>
      <c r="Y160" s="51"/>
      <c r="Z160" s="51"/>
      <c r="AA160" s="51">
        <v>1677845.02</v>
      </c>
      <c r="AB160" s="51"/>
      <c r="AC160" s="52">
        <f t="shared" si="527"/>
        <v>1677845.02</v>
      </c>
      <c r="AD160" s="51">
        <v>1149586.8699999999</v>
      </c>
      <c r="AE160" s="51"/>
      <c r="AF160" s="51"/>
      <c r="AG160" s="51">
        <v>1149586.8699999999</v>
      </c>
      <c r="AH160" s="51"/>
      <c r="AI160" s="52">
        <f t="shared" si="528"/>
        <v>2299173.7399999998</v>
      </c>
      <c r="AJ160" s="51">
        <v>1496433.65</v>
      </c>
      <c r="AK160" s="51"/>
      <c r="AL160" s="51"/>
      <c r="AM160" s="51"/>
      <c r="AN160" s="51"/>
      <c r="AO160" s="52">
        <f t="shared" si="529"/>
        <v>1496433.65</v>
      </c>
      <c r="AP160" s="51">
        <v>1930504.28</v>
      </c>
      <c r="AQ160" s="51"/>
      <c r="AR160" s="51"/>
      <c r="AS160" s="51"/>
      <c r="AT160" s="51"/>
      <c r="AU160" s="52">
        <f t="shared" si="530"/>
        <v>1930504.28</v>
      </c>
      <c r="AV160" s="51"/>
      <c r="AW160" s="51"/>
      <c r="AX160" s="51"/>
      <c r="AY160" s="51"/>
      <c r="AZ160" s="51"/>
      <c r="BA160" s="52">
        <f t="shared" si="531"/>
        <v>0</v>
      </c>
      <c r="BB160" s="51"/>
      <c r="BC160" s="51"/>
      <c r="BD160" s="51"/>
      <c r="BE160" s="51"/>
      <c r="BF160" s="51"/>
      <c r="BG160" s="52">
        <f t="shared" si="532"/>
        <v>0</v>
      </c>
      <c r="BH160" s="51"/>
      <c r="BI160" s="51"/>
      <c r="BJ160" s="51"/>
      <c r="BK160" s="51"/>
      <c r="BL160" s="51"/>
      <c r="BM160" s="52">
        <f t="shared" si="533"/>
        <v>0</v>
      </c>
      <c r="BN160" s="51"/>
      <c r="BO160" s="51"/>
      <c r="BP160" s="51"/>
      <c r="BQ160" s="51"/>
      <c r="BR160" s="51"/>
      <c r="BS160" s="52">
        <f t="shared" si="534"/>
        <v>0</v>
      </c>
      <c r="BT160" s="51"/>
      <c r="BU160" s="51"/>
      <c r="BV160" s="51"/>
      <c r="BW160" s="51"/>
      <c r="BX160" s="51"/>
      <c r="BY160" s="52">
        <f t="shared" si="535"/>
        <v>0</v>
      </c>
      <c r="BZ160" s="51"/>
      <c r="CA160" s="51"/>
      <c r="CB160" s="51"/>
      <c r="CC160" s="51"/>
      <c r="CD160" s="51"/>
      <c r="CE160" s="52">
        <f t="shared" si="536"/>
        <v>0</v>
      </c>
      <c r="CF160" s="51"/>
      <c r="CG160" s="51"/>
      <c r="CH160" s="51"/>
      <c r="CI160" s="51"/>
      <c r="CJ160" s="51"/>
      <c r="CK160" s="52">
        <f t="shared" si="537"/>
        <v>0</v>
      </c>
      <c r="CL160" s="35">
        <f t="shared" si="538"/>
        <v>5435610.04</v>
      </c>
      <c r="CM160" s="35">
        <f t="shared" si="538"/>
        <v>0</v>
      </c>
      <c r="CN160" s="35">
        <f t="shared" si="538"/>
        <v>0</v>
      </c>
      <c r="CO160" s="35">
        <f t="shared" si="538"/>
        <v>2827431.8899999997</v>
      </c>
      <c r="CP160" s="35">
        <f t="shared" si="538"/>
        <v>0</v>
      </c>
      <c r="CQ160" s="35">
        <f t="shared" si="538"/>
        <v>8263041.9300000006</v>
      </c>
      <c r="CR160" s="37">
        <f t="shared" si="539"/>
        <v>859085.24</v>
      </c>
      <c r="CS160" s="39">
        <f t="shared" si="540"/>
        <v>1677845.02</v>
      </c>
      <c r="CT160" s="53">
        <f t="shared" si="541"/>
        <v>2299173.7399999998</v>
      </c>
      <c r="CU160" s="39">
        <f t="shared" si="542"/>
        <v>1496433.65</v>
      </c>
      <c r="CV160" s="39">
        <f t="shared" si="543"/>
        <v>1930504.28</v>
      </c>
      <c r="CW160" s="39">
        <f t="shared" si="544"/>
        <v>0</v>
      </c>
      <c r="CX160" s="39">
        <f t="shared" si="545"/>
        <v>0</v>
      </c>
      <c r="CY160" s="39">
        <f t="shared" si="546"/>
        <v>0</v>
      </c>
      <c r="CZ160" s="39">
        <f t="shared" si="547"/>
        <v>0</v>
      </c>
      <c r="DA160" s="39">
        <f t="shared" si="548"/>
        <v>0</v>
      </c>
      <c r="DB160" s="39">
        <f t="shared" si="549"/>
        <v>0</v>
      </c>
      <c r="DC160" s="39">
        <f t="shared" si="550"/>
        <v>0</v>
      </c>
      <c r="DD160" s="39">
        <f>+HLOOKUP('Reporte Evolución Mensual'!$F$2-2,$CR$2:$DC$251, Input!$DG160, FALSE)</f>
        <v>1334352.7</v>
      </c>
      <c r="DE160" s="39">
        <f>+HLOOKUP('Reporte Evolución Mensual'!$F$2-1,$CR$2:$DC$251, Input!$DG160, FALSE)</f>
        <v>-170627.50999999995</v>
      </c>
      <c r="DF160" s="39">
        <f>+HLOOKUP('Reporte Evolución Mensual'!$F$2,$CR$2:$DC$251, Input!$DG160, FALSE)</f>
        <v>91749.77</v>
      </c>
      <c r="DG160" s="40">
        <f t="shared" si="479"/>
        <v>160</v>
      </c>
      <c r="DH160" s="39"/>
      <c r="DI160" s="39"/>
      <c r="DJ160" s="39"/>
      <c r="DK160" s="39"/>
      <c r="DL160" s="39"/>
      <c r="DM160" s="39"/>
      <c r="DN160" s="39"/>
      <c r="DO160" s="58"/>
      <c r="DP160" s="58"/>
      <c r="DQ160" s="58"/>
      <c r="DR160" s="58"/>
      <c r="DS160" s="1"/>
      <c r="DT160" s="1"/>
      <c r="DU160" s="1"/>
      <c r="DV160" s="345" t="s">
        <v>163</v>
      </c>
    </row>
    <row r="161" spans="1:126" ht="15" customHeight="1" x14ac:dyDescent="0.3">
      <c r="A161" s="1" t="str">
        <f t="shared" si="419"/>
        <v>ADIFSE</v>
      </c>
      <c r="B161" s="1" t="str">
        <f t="shared" si="420"/>
        <v>ADIFSE</v>
      </c>
      <c r="C161" s="1" t="str">
        <f t="shared" si="421"/>
        <v>MAY</v>
      </c>
      <c r="D161" s="1" t="s">
        <v>163</v>
      </c>
      <c r="E161" s="118" t="str">
        <f t="shared" si="524"/>
        <v>Servicios - Comerciales y Financieros</v>
      </c>
      <c r="F161" s="114">
        <v>35</v>
      </c>
      <c r="G161" s="1" t="s">
        <v>189</v>
      </c>
      <c r="H161" s="32" t="s">
        <v>193</v>
      </c>
      <c r="I161" s="32" t="s">
        <v>198</v>
      </c>
      <c r="J161" s="32" t="s">
        <v>289</v>
      </c>
      <c r="K161" s="38"/>
      <c r="L161" s="51"/>
      <c r="M161" s="51"/>
      <c r="N161" s="51"/>
      <c r="O161" s="51"/>
      <c r="P161" s="51"/>
      <c r="Q161" s="35">
        <f t="shared" si="525"/>
        <v>0</v>
      </c>
      <c r="R161" s="51">
        <v>-925274.89</v>
      </c>
      <c r="S161" s="51"/>
      <c r="T161" s="51"/>
      <c r="U161" s="51"/>
      <c r="V161" s="51"/>
      <c r="W161" s="52">
        <f t="shared" si="526"/>
        <v>-925274.89</v>
      </c>
      <c r="X161" s="51"/>
      <c r="Y161" s="51"/>
      <c r="Z161" s="51"/>
      <c r="AA161" s="51">
        <v>-913758.12999999989</v>
      </c>
      <c r="AB161" s="51"/>
      <c r="AC161" s="52">
        <f t="shared" si="527"/>
        <v>-913758.12999999989</v>
      </c>
      <c r="AD161" s="51">
        <v>667176.35</v>
      </c>
      <c r="AE161" s="51"/>
      <c r="AF161" s="51"/>
      <c r="AG161" s="51">
        <v>667176.35</v>
      </c>
      <c r="AH161" s="51"/>
      <c r="AI161" s="52">
        <f t="shared" si="528"/>
        <v>1334352.7</v>
      </c>
      <c r="AJ161" s="51">
        <v>-170627.50999999995</v>
      </c>
      <c r="AK161" s="51"/>
      <c r="AL161" s="51"/>
      <c r="AM161" s="51"/>
      <c r="AN161" s="51"/>
      <c r="AO161" s="52">
        <f t="shared" si="529"/>
        <v>-170627.50999999995</v>
      </c>
      <c r="AP161" s="51">
        <v>91749.77</v>
      </c>
      <c r="AQ161" s="51"/>
      <c r="AR161" s="51"/>
      <c r="AS161" s="51"/>
      <c r="AT161" s="51"/>
      <c r="AU161" s="52">
        <f t="shared" si="530"/>
        <v>91749.77</v>
      </c>
      <c r="AV161" s="51"/>
      <c r="AW161" s="51"/>
      <c r="AX161" s="51"/>
      <c r="AY161" s="51"/>
      <c r="AZ161" s="51"/>
      <c r="BA161" s="52">
        <f t="shared" si="531"/>
        <v>0</v>
      </c>
      <c r="BB161" s="51"/>
      <c r="BC161" s="51"/>
      <c r="BD161" s="51"/>
      <c r="BE161" s="51"/>
      <c r="BF161" s="51"/>
      <c r="BG161" s="52">
        <f t="shared" si="532"/>
        <v>0</v>
      </c>
      <c r="BH161" s="51"/>
      <c r="BI161" s="51"/>
      <c r="BJ161" s="51"/>
      <c r="BK161" s="51"/>
      <c r="BL161" s="51"/>
      <c r="BM161" s="52">
        <f t="shared" si="533"/>
        <v>0</v>
      </c>
      <c r="BN161" s="51"/>
      <c r="BO161" s="51"/>
      <c r="BP161" s="51"/>
      <c r="BQ161" s="51"/>
      <c r="BR161" s="51"/>
      <c r="BS161" s="52">
        <f t="shared" si="534"/>
        <v>0</v>
      </c>
      <c r="BT161" s="51"/>
      <c r="BU161" s="51"/>
      <c r="BV161" s="51"/>
      <c r="BW161" s="51"/>
      <c r="BX161" s="51"/>
      <c r="BY161" s="52">
        <f t="shared" si="535"/>
        <v>0</v>
      </c>
      <c r="BZ161" s="51"/>
      <c r="CA161" s="51"/>
      <c r="CB161" s="51"/>
      <c r="CC161" s="51"/>
      <c r="CD161" s="51"/>
      <c r="CE161" s="52">
        <f t="shared" si="536"/>
        <v>0</v>
      </c>
      <c r="CF161" s="51"/>
      <c r="CG161" s="51"/>
      <c r="CH161" s="51"/>
      <c r="CI161" s="51"/>
      <c r="CJ161" s="51"/>
      <c r="CK161" s="52">
        <f t="shared" si="537"/>
        <v>0</v>
      </c>
      <c r="CL161" s="35">
        <f t="shared" si="538"/>
        <v>-336976.27999999997</v>
      </c>
      <c r="CM161" s="35">
        <f t="shared" si="538"/>
        <v>0</v>
      </c>
      <c r="CN161" s="35">
        <f t="shared" si="538"/>
        <v>0</v>
      </c>
      <c r="CO161" s="35">
        <f t="shared" si="538"/>
        <v>-246581.77999999991</v>
      </c>
      <c r="CP161" s="35">
        <f t="shared" si="538"/>
        <v>0</v>
      </c>
      <c r="CQ161" s="35">
        <f t="shared" si="538"/>
        <v>-583558.06000000006</v>
      </c>
      <c r="CR161" s="37">
        <f t="shared" si="539"/>
        <v>-925274.89</v>
      </c>
      <c r="CS161" s="39">
        <f t="shared" si="540"/>
        <v>-913758.12999999989</v>
      </c>
      <c r="CT161" s="53">
        <f t="shared" si="541"/>
        <v>1334352.7</v>
      </c>
      <c r="CU161" s="39">
        <f t="shared" si="542"/>
        <v>-170627.50999999995</v>
      </c>
      <c r="CV161" s="39">
        <f t="shared" si="543"/>
        <v>91749.77</v>
      </c>
      <c r="CW161" s="39">
        <f t="shared" si="544"/>
        <v>0</v>
      </c>
      <c r="CX161" s="39">
        <f t="shared" si="545"/>
        <v>0</v>
      </c>
      <c r="CY161" s="39">
        <f t="shared" si="546"/>
        <v>0</v>
      </c>
      <c r="CZ161" s="39">
        <f t="shared" si="547"/>
        <v>0</v>
      </c>
      <c r="DA161" s="39">
        <f t="shared" si="548"/>
        <v>0</v>
      </c>
      <c r="DB161" s="39">
        <f t="shared" si="549"/>
        <v>0</v>
      </c>
      <c r="DC161" s="39">
        <f t="shared" si="550"/>
        <v>0</v>
      </c>
      <c r="DD161" s="39">
        <f>+HLOOKUP('Reporte Evolución Mensual'!$F$2-2,$CR$2:$DC$251, Input!$DG161, FALSE)</f>
        <v>262116.66</v>
      </c>
      <c r="DE161" s="39">
        <f>+HLOOKUP('Reporte Evolución Mensual'!$F$2-1,$CR$2:$DC$251, Input!$DG161, FALSE)</f>
        <v>137066.26</v>
      </c>
      <c r="DF161" s="39">
        <f>+HLOOKUP('Reporte Evolución Mensual'!$F$2,$CR$2:$DC$251, Input!$DG161, FALSE)</f>
        <v>137971.71000000002</v>
      </c>
      <c r="DG161" s="40">
        <f t="shared" si="479"/>
        <v>161</v>
      </c>
      <c r="DH161" s="39"/>
      <c r="DI161" s="39"/>
      <c r="DJ161" s="39"/>
      <c r="DK161" s="39"/>
      <c r="DL161" s="39"/>
      <c r="DM161" s="39"/>
      <c r="DN161" s="39"/>
      <c r="DO161" s="58"/>
      <c r="DP161" s="58"/>
      <c r="DQ161" s="58"/>
      <c r="DR161" s="58"/>
      <c r="DS161" s="1"/>
      <c r="DT161" s="1"/>
      <c r="DU161" s="1"/>
      <c r="DV161" s="345" t="s">
        <v>163</v>
      </c>
    </row>
    <row r="162" spans="1:126" ht="15" customHeight="1" x14ac:dyDescent="0.3">
      <c r="A162" s="1" t="str">
        <f t="shared" si="419"/>
        <v>ADIFSE</v>
      </c>
      <c r="B162" s="1" t="str">
        <f t="shared" si="420"/>
        <v>ADIFSE</v>
      </c>
      <c r="C162" s="1" t="str">
        <f t="shared" si="421"/>
        <v>MAY</v>
      </c>
      <c r="D162" s="1" t="s">
        <v>163</v>
      </c>
      <c r="E162" s="118" t="str">
        <f t="shared" si="524"/>
        <v>Servicios - Publicidad y Propaganda</v>
      </c>
      <c r="F162" s="114">
        <v>36</v>
      </c>
      <c r="G162" s="1" t="s">
        <v>189</v>
      </c>
      <c r="H162" s="32" t="s">
        <v>193</v>
      </c>
      <c r="I162" s="32" t="s">
        <v>199</v>
      </c>
      <c r="J162" s="32" t="s">
        <v>289</v>
      </c>
      <c r="K162" s="38"/>
      <c r="L162" s="51"/>
      <c r="M162" s="51"/>
      <c r="N162" s="51"/>
      <c r="O162" s="51"/>
      <c r="P162" s="51"/>
      <c r="Q162" s="35">
        <f t="shared" si="525"/>
        <v>0</v>
      </c>
      <c r="R162" s="51">
        <v>301352.11</v>
      </c>
      <c r="S162" s="51"/>
      <c r="T162" s="51"/>
      <c r="U162" s="51"/>
      <c r="V162" s="51"/>
      <c r="W162" s="52">
        <f t="shared" si="526"/>
        <v>301352.11</v>
      </c>
      <c r="X162" s="448"/>
      <c r="Y162" s="51"/>
      <c r="Z162" s="51"/>
      <c r="AA162" s="448">
        <v>405675.66000000003</v>
      </c>
      <c r="AB162" s="51"/>
      <c r="AC162" s="52">
        <f t="shared" si="527"/>
        <v>405675.66000000003</v>
      </c>
      <c r="AD162" s="51">
        <v>131058.33</v>
      </c>
      <c r="AE162" s="51"/>
      <c r="AF162" s="51"/>
      <c r="AG162" s="51">
        <v>131058.33</v>
      </c>
      <c r="AH162" s="51"/>
      <c r="AI162" s="52">
        <f t="shared" si="528"/>
        <v>262116.66</v>
      </c>
      <c r="AJ162" s="51">
        <v>137066.26</v>
      </c>
      <c r="AK162" s="51"/>
      <c r="AL162" s="51"/>
      <c r="AM162" s="51"/>
      <c r="AN162" s="51"/>
      <c r="AO162" s="52">
        <f t="shared" si="529"/>
        <v>137066.26</v>
      </c>
      <c r="AP162" s="51">
        <v>137971.71000000002</v>
      </c>
      <c r="AQ162" s="51"/>
      <c r="AR162" s="51"/>
      <c r="AS162" s="51"/>
      <c r="AT162" s="51"/>
      <c r="AU162" s="52">
        <f t="shared" si="530"/>
        <v>137971.71000000002</v>
      </c>
      <c r="AV162" s="51"/>
      <c r="AW162" s="51"/>
      <c r="AX162" s="51"/>
      <c r="AY162" s="51"/>
      <c r="AZ162" s="51"/>
      <c r="BA162" s="52">
        <f t="shared" si="531"/>
        <v>0</v>
      </c>
      <c r="BB162" s="51"/>
      <c r="BC162" s="51"/>
      <c r="BD162" s="51"/>
      <c r="BE162" s="51"/>
      <c r="BF162" s="51"/>
      <c r="BG162" s="52">
        <f t="shared" si="532"/>
        <v>0</v>
      </c>
      <c r="BH162" s="51"/>
      <c r="BI162" s="51"/>
      <c r="BJ162" s="51"/>
      <c r="BK162" s="51"/>
      <c r="BL162" s="51"/>
      <c r="BM162" s="52">
        <f t="shared" si="533"/>
        <v>0</v>
      </c>
      <c r="BN162" s="51"/>
      <c r="BO162" s="51"/>
      <c r="BP162" s="51"/>
      <c r="BQ162" s="51"/>
      <c r="BR162" s="51"/>
      <c r="BS162" s="52">
        <f t="shared" si="534"/>
        <v>0</v>
      </c>
      <c r="BT162" s="51"/>
      <c r="BU162" s="51"/>
      <c r="BV162" s="51"/>
      <c r="BW162" s="51"/>
      <c r="BX162" s="51"/>
      <c r="BY162" s="52">
        <f t="shared" si="535"/>
        <v>0</v>
      </c>
      <c r="BZ162" s="51"/>
      <c r="CA162" s="51"/>
      <c r="CB162" s="51"/>
      <c r="CC162" s="51"/>
      <c r="CD162" s="51"/>
      <c r="CE162" s="52">
        <f t="shared" si="536"/>
        <v>0</v>
      </c>
      <c r="CF162" s="51"/>
      <c r="CG162" s="51"/>
      <c r="CH162" s="51"/>
      <c r="CI162" s="51"/>
      <c r="CJ162" s="51"/>
      <c r="CK162" s="52">
        <f t="shared" si="537"/>
        <v>0</v>
      </c>
      <c r="CL162" s="35">
        <f t="shared" si="538"/>
        <v>707448.40999999992</v>
      </c>
      <c r="CM162" s="35">
        <f t="shared" si="538"/>
        <v>0</v>
      </c>
      <c r="CN162" s="35">
        <f t="shared" si="538"/>
        <v>0</v>
      </c>
      <c r="CO162" s="35">
        <f t="shared" si="538"/>
        <v>536733.99</v>
      </c>
      <c r="CP162" s="35">
        <f t="shared" si="538"/>
        <v>0</v>
      </c>
      <c r="CQ162" s="35">
        <f t="shared" si="538"/>
        <v>1244182.3999999999</v>
      </c>
      <c r="CR162" s="37">
        <f t="shared" si="539"/>
        <v>301352.11</v>
      </c>
      <c r="CS162" s="39">
        <f t="shared" si="540"/>
        <v>405675.66000000003</v>
      </c>
      <c r="CT162" s="53">
        <f t="shared" si="541"/>
        <v>262116.66</v>
      </c>
      <c r="CU162" s="39">
        <f t="shared" si="542"/>
        <v>137066.26</v>
      </c>
      <c r="CV162" s="39">
        <f t="shared" si="543"/>
        <v>137971.71000000002</v>
      </c>
      <c r="CW162" s="39">
        <f t="shared" si="544"/>
        <v>0</v>
      </c>
      <c r="CX162" s="39">
        <f t="shared" si="545"/>
        <v>0</v>
      </c>
      <c r="CY162" s="39">
        <f t="shared" si="546"/>
        <v>0</v>
      </c>
      <c r="CZ162" s="39">
        <f t="shared" si="547"/>
        <v>0</v>
      </c>
      <c r="DA162" s="39">
        <f t="shared" si="548"/>
        <v>0</v>
      </c>
      <c r="DB162" s="39">
        <f t="shared" si="549"/>
        <v>0</v>
      </c>
      <c r="DC162" s="39">
        <f t="shared" si="550"/>
        <v>0</v>
      </c>
      <c r="DD162" s="39">
        <f>+HLOOKUP('Reporte Evolución Mensual'!$F$2-2,$CR$2:$DC$251, Input!$DG162, FALSE)</f>
        <v>820911.0199999999</v>
      </c>
      <c r="DE162" s="39">
        <f>+HLOOKUP('Reporte Evolución Mensual'!$F$2-1,$CR$2:$DC$251, Input!$DG162, FALSE)</f>
        <v>532507.37000000011</v>
      </c>
      <c r="DF162" s="39">
        <f>+HLOOKUP('Reporte Evolución Mensual'!$F$2,$CR$2:$DC$251, Input!$DG162, FALSE)</f>
        <v>631201.65999999992</v>
      </c>
      <c r="DG162" s="40">
        <f t="shared" si="479"/>
        <v>162</v>
      </c>
      <c r="DH162" s="39"/>
      <c r="DI162" s="39"/>
      <c r="DJ162" s="39"/>
      <c r="DK162" s="39"/>
      <c r="DL162" s="39"/>
      <c r="DM162" s="39"/>
      <c r="DN162" s="39"/>
      <c r="DO162" s="58"/>
      <c r="DP162" s="58"/>
      <c r="DQ162" s="58"/>
      <c r="DR162" s="58"/>
      <c r="DS162" s="1"/>
      <c r="DT162" s="1"/>
      <c r="DU162" s="1"/>
      <c r="DV162" s="345" t="s">
        <v>163</v>
      </c>
    </row>
    <row r="163" spans="1:126" ht="15" customHeight="1" x14ac:dyDescent="0.3">
      <c r="A163" s="1" t="str">
        <f t="shared" si="419"/>
        <v>ADIFSE</v>
      </c>
      <c r="B163" s="1" t="str">
        <f t="shared" si="420"/>
        <v>ADIFSE</v>
      </c>
      <c r="C163" s="1" t="str">
        <f t="shared" si="421"/>
        <v>MAY</v>
      </c>
      <c r="D163" s="1" t="s">
        <v>163</v>
      </c>
      <c r="E163" s="118" t="str">
        <f t="shared" si="524"/>
        <v>Servicios - Pasajes y Viáticos</v>
      </c>
      <c r="F163" s="114">
        <v>37</v>
      </c>
      <c r="G163" s="1" t="s">
        <v>189</v>
      </c>
      <c r="H163" s="32" t="s">
        <v>193</v>
      </c>
      <c r="I163" s="32" t="s">
        <v>200</v>
      </c>
      <c r="J163" s="32" t="s">
        <v>289</v>
      </c>
      <c r="K163" s="38"/>
      <c r="L163" s="51"/>
      <c r="M163" s="51"/>
      <c r="N163" s="51"/>
      <c r="O163" s="51"/>
      <c r="P163" s="51"/>
      <c r="Q163" s="35">
        <f t="shared" si="525"/>
        <v>0</v>
      </c>
      <c r="R163" s="51">
        <v>486316.5199999999</v>
      </c>
      <c r="S163" s="51"/>
      <c r="T163" s="51"/>
      <c r="U163" s="51"/>
      <c r="V163" s="51"/>
      <c r="W163" s="52">
        <f t="shared" si="526"/>
        <v>486316.5199999999</v>
      </c>
      <c r="X163" s="51"/>
      <c r="Y163" s="51"/>
      <c r="Z163" s="51"/>
      <c r="AA163" s="51">
        <v>435590.48999999987</v>
      </c>
      <c r="AB163" s="51"/>
      <c r="AC163" s="52">
        <f t="shared" si="527"/>
        <v>435590.48999999987</v>
      </c>
      <c r="AD163" s="51">
        <v>410455.50999999995</v>
      </c>
      <c r="AE163" s="51"/>
      <c r="AF163" s="51"/>
      <c r="AG163" s="51">
        <v>410455.50999999995</v>
      </c>
      <c r="AH163" s="51"/>
      <c r="AI163" s="52">
        <f t="shared" si="528"/>
        <v>820911.0199999999</v>
      </c>
      <c r="AJ163" s="51">
        <v>532507.37000000011</v>
      </c>
      <c r="AK163" s="51"/>
      <c r="AL163" s="51"/>
      <c r="AM163" s="51"/>
      <c r="AN163" s="51"/>
      <c r="AO163" s="52">
        <f t="shared" si="529"/>
        <v>532507.37000000011</v>
      </c>
      <c r="AP163" s="51">
        <v>631201.65999999992</v>
      </c>
      <c r="AQ163" s="51"/>
      <c r="AR163" s="51"/>
      <c r="AS163" s="51"/>
      <c r="AT163" s="51"/>
      <c r="AU163" s="52">
        <f t="shared" si="530"/>
        <v>631201.65999999992</v>
      </c>
      <c r="AV163" s="51"/>
      <c r="AW163" s="51"/>
      <c r="AX163" s="51"/>
      <c r="AY163" s="51"/>
      <c r="AZ163" s="51"/>
      <c r="BA163" s="52">
        <f t="shared" si="531"/>
        <v>0</v>
      </c>
      <c r="BB163" s="51"/>
      <c r="BC163" s="51"/>
      <c r="BD163" s="51"/>
      <c r="BE163" s="51"/>
      <c r="BF163" s="51"/>
      <c r="BG163" s="52">
        <f t="shared" si="532"/>
        <v>0</v>
      </c>
      <c r="BH163" s="51"/>
      <c r="BI163" s="51"/>
      <c r="BJ163" s="51"/>
      <c r="BK163" s="51"/>
      <c r="BL163" s="51"/>
      <c r="BM163" s="52">
        <f t="shared" si="533"/>
        <v>0</v>
      </c>
      <c r="BN163" s="51"/>
      <c r="BO163" s="51"/>
      <c r="BP163" s="51"/>
      <c r="BQ163" s="51"/>
      <c r="BR163" s="51"/>
      <c r="BS163" s="52">
        <f t="shared" si="534"/>
        <v>0</v>
      </c>
      <c r="BT163" s="51"/>
      <c r="BU163" s="51"/>
      <c r="BV163" s="51"/>
      <c r="BW163" s="51"/>
      <c r="BX163" s="51"/>
      <c r="BY163" s="52">
        <f t="shared" si="535"/>
        <v>0</v>
      </c>
      <c r="BZ163" s="51"/>
      <c r="CA163" s="51"/>
      <c r="CB163" s="51"/>
      <c r="CC163" s="51"/>
      <c r="CD163" s="51"/>
      <c r="CE163" s="52">
        <f t="shared" si="536"/>
        <v>0</v>
      </c>
      <c r="CF163" s="51"/>
      <c r="CG163" s="51"/>
      <c r="CH163" s="51"/>
      <c r="CI163" s="51"/>
      <c r="CJ163" s="51"/>
      <c r="CK163" s="52">
        <f t="shared" si="537"/>
        <v>0</v>
      </c>
      <c r="CL163" s="35">
        <f t="shared" si="538"/>
        <v>2060481.0599999998</v>
      </c>
      <c r="CM163" s="35">
        <f t="shared" si="538"/>
        <v>0</v>
      </c>
      <c r="CN163" s="35">
        <f t="shared" si="538"/>
        <v>0</v>
      </c>
      <c r="CO163" s="35">
        <f t="shared" si="538"/>
        <v>846045.99999999977</v>
      </c>
      <c r="CP163" s="35">
        <f t="shared" si="538"/>
        <v>0</v>
      </c>
      <c r="CQ163" s="35">
        <f t="shared" si="538"/>
        <v>2906527.0599999996</v>
      </c>
      <c r="CR163" s="37">
        <f t="shared" si="539"/>
        <v>486316.5199999999</v>
      </c>
      <c r="CS163" s="39">
        <f t="shared" si="540"/>
        <v>435590.48999999987</v>
      </c>
      <c r="CT163" s="53">
        <f t="shared" si="541"/>
        <v>820911.0199999999</v>
      </c>
      <c r="CU163" s="39">
        <f t="shared" si="542"/>
        <v>532507.37000000011</v>
      </c>
      <c r="CV163" s="39">
        <f t="shared" si="543"/>
        <v>631201.65999999992</v>
      </c>
      <c r="CW163" s="39">
        <f t="shared" si="544"/>
        <v>0</v>
      </c>
      <c r="CX163" s="39">
        <f t="shared" si="545"/>
        <v>0</v>
      </c>
      <c r="CY163" s="39">
        <f t="shared" si="546"/>
        <v>0</v>
      </c>
      <c r="CZ163" s="39">
        <f t="shared" si="547"/>
        <v>0</v>
      </c>
      <c r="DA163" s="39">
        <f t="shared" si="548"/>
        <v>0</v>
      </c>
      <c r="DB163" s="39">
        <f t="shared" si="549"/>
        <v>0</v>
      </c>
      <c r="DC163" s="39">
        <f t="shared" si="550"/>
        <v>0</v>
      </c>
      <c r="DD163" s="39">
        <f>+HLOOKUP('Reporte Evolución Mensual'!$F$2-2,$CR$2:$DC$251, Input!$DG163, FALSE)</f>
        <v>480721.66000000003</v>
      </c>
      <c r="DE163" s="39">
        <f>+HLOOKUP('Reporte Evolución Mensual'!$F$2-1,$CR$2:$DC$251, Input!$DG163, FALSE)</f>
        <v>705754.57000000007</v>
      </c>
      <c r="DF163" s="39">
        <f>+HLOOKUP('Reporte Evolución Mensual'!$F$2,$CR$2:$DC$251, Input!$DG163, FALSE)</f>
        <v>235687.56999999998</v>
      </c>
      <c r="DG163" s="40">
        <f t="shared" si="479"/>
        <v>163</v>
      </c>
      <c r="DH163" s="39"/>
      <c r="DI163" s="39"/>
      <c r="DJ163" s="39"/>
      <c r="DK163" s="39"/>
      <c r="DL163" s="39"/>
      <c r="DM163" s="39"/>
      <c r="DN163" s="39"/>
      <c r="DO163" s="58"/>
      <c r="DP163" s="58"/>
      <c r="DQ163" s="58"/>
      <c r="DR163" s="58"/>
      <c r="DS163" s="1"/>
      <c r="DT163" s="1"/>
      <c r="DU163" s="1"/>
      <c r="DV163" s="345" t="s">
        <v>163</v>
      </c>
    </row>
    <row r="164" spans="1:126" ht="15" customHeight="1" x14ac:dyDescent="0.3">
      <c r="A164" s="1" t="str">
        <f t="shared" si="419"/>
        <v>ADIFSE</v>
      </c>
      <c r="B164" s="1" t="str">
        <f t="shared" si="420"/>
        <v>ADIFSE</v>
      </c>
      <c r="C164" s="1" t="str">
        <f t="shared" si="421"/>
        <v>MAY</v>
      </c>
      <c r="D164" s="1" t="s">
        <v>163</v>
      </c>
      <c r="E164" s="118" t="str">
        <f t="shared" si="524"/>
        <v>Servicios - Impuestos, Derechos, Tasas y Juicios</v>
      </c>
      <c r="F164" s="114">
        <v>38</v>
      </c>
      <c r="G164" s="1" t="s">
        <v>189</v>
      </c>
      <c r="H164" s="32" t="s">
        <v>193</v>
      </c>
      <c r="I164" s="32" t="s">
        <v>201</v>
      </c>
      <c r="J164" s="32" t="s">
        <v>289</v>
      </c>
      <c r="K164" s="38"/>
      <c r="L164" s="51"/>
      <c r="M164" s="51"/>
      <c r="N164" s="51"/>
      <c r="O164" s="51"/>
      <c r="P164" s="51"/>
      <c r="Q164" s="35">
        <f t="shared" si="525"/>
        <v>0</v>
      </c>
      <c r="R164" s="51">
        <v>280903.96999999997</v>
      </c>
      <c r="S164" s="51"/>
      <c r="T164" s="51"/>
      <c r="U164" s="51"/>
      <c r="V164" s="51"/>
      <c r="W164" s="52">
        <f t="shared" si="526"/>
        <v>280903.96999999997</v>
      </c>
      <c r="X164" s="51"/>
      <c r="Y164" s="51"/>
      <c r="Z164" s="51"/>
      <c r="AA164" s="51">
        <v>331159.81</v>
      </c>
      <c r="AB164" s="51"/>
      <c r="AC164" s="52">
        <f t="shared" si="527"/>
        <v>331159.81</v>
      </c>
      <c r="AD164" s="51">
        <v>240360.83000000002</v>
      </c>
      <c r="AE164" s="51"/>
      <c r="AF164" s="51"/>
      <c r="AG164" s="51">
        <v>240360.83000000002</v>
      </c>
      <c r="AH164" s="51"/>
      <c r="AI164" s="52">
        <f t="shared" si="528"/>
        <v>480721.66000000003</v>
      </c>
      <c r="AJ164" s="51">
        <v>705754.57000000007</v>
      </c>
      <c r="AK164" s="51"/>
      <c r="AL164" s="51"/>
      <c r="AM164" s="51"/>
      <c r="AN164" s="51"/>
      <c r="AO164" s="52">
        <f t="shared" si="529"/>
        <v>705754.57000000007</v>
      </c>
      <c r="AP164" s="51">
        <v>235687.56999999998</v>
      </c>
      <c r="AQ164" s="51"/>
      <c r="AR164" s="51"/>
      <c r="AS164" s="51"/>
      <c r="AT164" s="51"/>
      <c r="AU164" s="52">
        <f t="shared" si="530"/>
        <v>235687.56999999998</v>
      </c>
      <c r="AV164" s="51"/>
      <c r="AW164" s="51"/>
      <c r="AX164" s="51"/>
      <c r="AY164" s="51"/>
      <c r="AZ164" s="51"/>
      <c r="BA164" s="52">
        <f t="shared" si="531"/>
        <v>0</v>
      </c>
      <c r="BB164" s="51"/>
      <c r="BC164" s="51"/>
      <c r="BD164" s="51"/>
      <c r="BE164" s="51"/>
      <c r="BF164" s="51"/>
      <c r="BG164" s="52">
        <f t="shared" si="532"/>
        <v>0</v>
      </c>
      <c r="BH164" s="51"/>
      <c r="BI164" s="51"/>
      <c r="BJ164" s="51"/>
      <c r="BK164" s="51"/>
      <c r="BL164" s="51"/>
      <c r="BM164" s="52">
        <f t="shared" si="533"/>
        <v>0</v>
      </c>
      <c r="BN164" s="51"/>
      <c r="BO164" s="51"/>
      <c r="BP164" s="51"/>
      <c r="BQ164" s="51"/>
      <c r="BR164" s="51"/>
      <c r="BS164" s="52">
        <f t="shared" si="534"/>
        <v>0</v>
      </c>
      <c r="BT164" s="51"/>
      <c r="BU164" s="51"/>
      <c r="BV164" s="51"/>
      <c r="BW164" s="51"/>
      <c r="BX164" s="51"/>
      <c r="BY164" s="52">
        <f t="shared" si="535"/>
        <v>0</v>
      </c>
      <c r="BZ164" s="51"/>
      <c r="CA164" s="51"/>
      <c r="CB164" s="51"/>
      <c r="CC164" s="51"/>
      <c r="CD164" s="51"/>
      <c r="CE164" s="52">
        <f t="shared" si="536"/>
        <v>0</v>
      </c>
      <c r="CF164" s="51"/>
      <c r="CG164" s="51"/>
      <c r="CH164" s="51"/>
      <c r="CI164" s="51"/>
      <c r="CJ164" s="51"/>
      <c r="CK164" s="52">
        <f t="shared" si="537"/>
        <v>0</v>
      </c>
      <c r="CL164" s="35">
        <f t="shared" si="538"/>
        <v>1462706.9400000002</v>
      </c>
      <c r="CM164" s="35">
        <f t="shared" si="538"/>
        <v>0</v>
      </c>
      <c r="CN164" s="35">
        <f t="shared" si="538"/>
        <v>0</v>
      </c>
      <c r="CO164" s="35">
        <f t="shared" si="538"/>
        <v>571520.64</v>
      </c>
      <c r="CP164" s="35">
        <f t="shared" si="538"/>
        <v>0</v>
      </c>
      <c r="CQ164" s="35">
        <f t="shared" si="538"/>
        <v>2034227.58</v>
      </c>
      <c r="CR164" s="37">
        <f t="shared" si="539"/>
        <v>280903.96999999997</v>
      </c>
      <c r="CS164" s="39">
        <f t="shared" si="540"/>
        <v>331159.81</v>
      </c>
      <c r="CT164" s="53">
        <f t="shared" si="541"/>
        <v>480721.66000000003</v>
      </c>
      <c r="CU164" s="39">
        <f t="shared" si="542"/>
        <v>705754.57000000007</v>
      </c>
      <c r="CV164" s="39">
        <f t="shared" si="543"/>
        <v>235687.56999999998</v>
      </c>
      <c r="CW164" s="39">
        <f t="shared" si="544"/>
        <v>0</v>
      </c>
      <c r="CX164" s="39">
        <f t="shared" si="545"/>
        <v>0</v>
      </c>
      <c r="CY164" s="39">
        <f t="shared" si="546"/>
        <v>0</v>
      </c>
      <c r="CZ164" s="39">
        <f t="shared" si="547"/>
        <v>0</v>
      </c>
      <c r="DA164" s="39">
        <f t="shared" si="548"/>
        <v>0</v>
      </c>
      <c r="DB164" s="39">
        <f t="shared" si="549"/>
        <v>0</v>
      </c>
      <c r="DC164" s="39">
        <f t="shared" si="550"/>
        <v>0</v>
      </c>
      <c r="DD164" s="39">
        <f>+HLOOKUP('Reporte Evolución Mensual'!$F$2-2,$CR$2:$DC$251, Input!$DG164, FALSE)</f>
        <v>81975.899999999849</v>
      </c>
      <c r="DE164" s="39">
        <f>+HLOOKUP('Reporte Evolución Mensual'!$F$2-1,$CR$2:$DC$251, Input!$DG164, FALSE)</f>
        <v>1819161.5100000002</v>
      </c>
      <c r="DF164" s="39">
        <f>+HLOOKUP('Reporte Evolución Mensual'!$F$2,$CR$2:$DC$251, Input!$DG164, FALSE)</f>
        <v>-316771.73999999993</v>
      </c>
      <c r="DG164" s="40">
        <f t="shared" si="479"/>
        <v>164</v>
      </c>
      <c r="DH164" s="39"/>
      <c r="DI164" s="39"/>
      <c r="DJ164" s="39"/>
      <c r="DK164" s="39"/>
      <c r="DL164" s="39"/>
      <c r="DM164" s="39"/>
      <c r="DN164" s="39"/>
      <c r="DO164" s="58"/>
      <c r="DP164" s="58"/>
      <c r="DQ164" s="58"/>
      <c r="DR164" s="58"/>
      <c r="DS164" s="1"/>
      <c r="DT164" s="1"/>
      <c r="DU164" s="1"/>
      <c r="DV164" s="345" t="s">
        <v>163</v>
      </c>
    </row>
    <row r="165" spans="1:126" ht="15" customHeight="1" x14ac:dyDescent="0.3">
      <c r="A165" s="1" t="str">
        <f t="shared" si="419"/>
        <v>ADIFSE</v>
      </c>
      <c r="B165" s="1" t="str">
        <f t="shared" si="420"/>
        <v>ADIFSE</v>
      </c>
      <c r="C165" s="1" t="str">
        <f t="shared" si="421"/>
        <v>MAY</v>
      </c>
      <c r="D165" s="1" t="s">
        <v>163</v>
      </c>
      <c r="E165" s="118" t="str">
        <f t="shared" si="524"/>
        <v>Servicios - Otros</v>
      </c>
      <c r="F165" s="114">
        <v>39</v>
      </c>
      <c r="G165" s="1" t="s">
        <v>189</v>
      </c>
      <c r="H165" s="32" t="s">
        <v>193</v>
      </c>
      <c r="I165" s="32" t="s">
        <v>202</v>
      </c>
      <c r="J165" s="32" t="s">
        <v>289</v>
      </c>
      <c r="K165" s="38"/>
      <c r="L165" s="51"/>
      <c r="M165" s="51"/>
      <c r="N165" s="51"/>
      <c r="O165" s="51"/>
      <c r="P165" s="51"/>
      <c r="Q165" s="35">
        <f t="shared" si="525"/>
        <v>0</v>
      </c>
      <c r="R165" s="51">
        <v>1210091.5199999998</v>
      </c>
      <c r="S165" s="51"/>
      <c r="T165" s="51"/>
      <c r="U165" s="51"/>
      <c r="V165" s="51"/>
      <c r="W165" s="52">
        <f t="shared" si="526"/>
        <v>1210091.5199999998</v>
      </c>
      <c r="X165" s="51"/>
      <c r="Y165" s="51"/>
      <c r="Z165" s="51"/>
      <c r="AA165" s="51">
        <v>297850.90000000002</v>
      </c>
      <c r="AB165" s="51"/>
      <c r="AC165" s="52">
        <f t="shared" si="527"/>
        <v>297850.90000000002</v>
      </c>
      <c r="AD165" s="51">
        <v>41487.949999999939</v>
      </c>
      <c r="AE165" s="51"/>
      <c r="AF165" s="51"/>
      <c r="AG165" s="51">
        <v>40487.949999999903</v>
      </c>
      <c r="AH165" s="51"/>
      <c r="AI165" s="52">
        <f t="shared" si="528"/>
        <v>81975.899999999849</v>
      </c>
      <c r="AJ165" s="51">
        <v>1819161.5100000002</v>
      </c>
      <c r="AK165" s="51"/>
      <c r="AL165" s="51"/>
      <c r="AM165" s="51"/>
      <c r="AN165" s="51"/>
      <c r="AO165" s="52">
        <f t="shared" si="529"/>
        <v>1819161.5100000002</v>
      </c>
      <c r="AP165" s="51">
        <v>-316771.73999999993</v>
      </c>
      <c r="AQ165" s="51"/>
      <c r="AR165" s="51"/>
      <c r="AS165" s="51"/>
      <c r="AT165" s="51"/>
      <c r="AU165" s="52">
        <f t="shared" si="530"/>
        <v>-316771.73999999993</v>
      </c>
      <c r="AV165" s="51"/>
      <c r="AW165" s="51"/>
      <c r="AX165" s="51"/>
      <c r="AY165" s="51"/>
      <c r="AZ165" s="51"/>
      <c r="BA165" s="52">
        <f t="shared" si="531"/>
        <v>0</v>
      </c>
      <c r="BB165" s="51"/>
      <c r="BC165" s="51"/>
      <c r="BD165" s="51"/>
      <c r="BE165" s="51"/>
      <c r="BF165" s="51"/>
      <c r="BG165" s="52">
        <f t="shared" si="532"/>
        <v>0</v>
      </c>
      <c r="BH165" s="51"/>
      <c r="BI165" s="51"/>
      <c r="BJ165" s="51"/>
      <c r="BK165" s="51"/>
      <c r="BL165" s="51"/>
      <c r="BM165" s="52">
        <f t="shared" si="533"/>
        <v>0</v>
      </c>
      <c r="BN165" s="51"/>
      <c r="BO165" s="51"/>
      <c r="BP165" s="51"/>
      <c r="BQ165" s="51"/>
      <c r="BR165" s="51"/>
      <c r="BS165" s="52">
        <f t="shared" si="534"/>
        <v>0</v>
      </c>
      <c r="BT165" s="51"/>
      <c r="BU165" s="51"/>
      <c r="BV165" s="51"/>
      <c r="BW165" s="51"/>
      <c r="BX165" s="51"/>
      <c r="BY165" s="52">
        <f t="shared" si="535"/>
        <v>0</v>
      </c>
      <c r="BZ165" s="51"/>
      <c r="CA165" s="51"/>
      <c r="CB165" s="51"/>
      <c r="CC165" s="51"/>
      <c r="CD165" s="51"/>
      <c r="CE165" s="52">
        <f t="shared" si="536"/>
        <v>0</v>
      </c>
      <c r="CF165" s="51"/>
      <c r="CG165" s="51"/>
      <c r="CH165" s="51"/>
      <c r="CI165" s="51"/>
      <c r="CJ165" s="51"/>
      <c r="CK165" s="52">
        <f t="shared" si="537"/>
        <v>0</v>
      </c>
      <c r="CL165" s="35">
        <f t="shared" si="538"/>
        <v>2753969.24</v>
      </c>
      <c r="CM165" s="35">
        <f t="shared" si="538"/>
        <v>0</v>
      </c>
      <c r="CN165" s="35">
        <f t="shared" si="538"/>
        <v>0</v>
      </c>
      <c r="CO165" s="35">
        <f t="shared" si="538"/>
        <v>338338.84999999992</v>
      </c>
      <c r="CP165" s="35">
        <f t="shared" si="538"/>
        <v>0</v>
      </c>
      <c r="CQ165" s="35">
        <f t="shared" si="538"/>
        <v>3092308.0900000003</v>
      </c>
      <c r="CR165" s="37">
        <f t="shared" si="539"/>
        <v>1210091.5199999998</v>
      </c>
      <c r="CS165" s="39">
        <f t="shared" si="540"/>
        <v>297850.90000000002</v>
      </c>
      <c r="CT165" s="53">
        <f t="shared" si="541"/>
        <v>81975.899999999849</v>
      </c>
      <c r="CU165" s="39">
        <f t="shared" si="542"/>
        <v>1819161.5100000002</v>
      </c>
      <c r="CV165" s="39">
        <f t="shared" si="543"/>
        <v>-316771.73999999993</v>
      </c>
      <c r="CW165" s="39">
        <f t="shared" si="544"/>
        <v>0</v>
      </c>
      <c r="CX165" s="39">
        <f t="shared" si="545"/>
        <v>0</v>
      </c>
      <c r="CY165" s="39">
        <f t="shared" si="546"/>
        <v>0</v>
      </c>
      <c r="CZ165" s="39">
        <f t="shared" si="547"/>
        <v>0</v>
      </c>
      <c r="DA165" s="39">
        <f t="shared" si="548"/>
        <v>0</v>
      </c>
      <c r="DB165" s="39">
        <f t="shared" si="549"/>
        <v>0</v>
      </c>
      <c r="DC165" s="39">
        <f t="shared" si="550"/>
        <v>0</v>
      </c>
      <c r="DD165" s="39">
        <f>+HLOOKUP('Reporte Evolución Mensual'!$F$2-2,$CR$2:$DC$251, Input!$DG165, FALSE)</f>
        <v>14878932.98</v>
      </c>
      <c r="DE165" s="39">
        <f>+HLOOKUP('Reporte Evolución Mensual'!$F$2-1,$CR$2:$DC$251, Input!$DG165, FALSE)</f>
        <v>9664545.6700000018</v>
      </c>
      <c r="DF165" s="39">
        <f>+HLOOKUP('Reporte Evolución Mensual'!$F$2,$CR$2:$DC$251, Input!$DG165, FALSE)</f>
        <v>8335449.7999999989</v>
      </c>
      <c r="DG165" s="40">
        <f t="shared" si="479"/>
        <v>165</v>
      </c>
      <c r="DH165" s="39"/>
      <c r="DI165" s="39"/>
      <c r="DJ165" s="39"/>
      <c r="DK165" s="39"/>
      <c r="DL165" s="39"/>
      <c r="DM165" s="39"/>
      <c r="DN165" s="39"/>
      <c r="DO165" s="58"/>
      <c r="DP165" s="58"/>
      <c r="DQ165" s="58"/>
      <c r="DR165" s="58"/>
      <c r="DS165" s="1"/>
      <c r="DT165" s="1"/>
      <c r="DU165" s="1"/>
      <c r="DV165" s="345" t="s">
        <v>163</v>
      </c>
    </row>
    <row r="166" spans="1:126" ht="15" customHeight="1" x14ac:dyDescent="0.3">
      <c r="A166" s="1" t="str">
        <f t="shared" si="419"/>
        <v>ADIFSE</v>
      </c>
      <c r="B166" s="1" t="str">
        <f t="shared" si="420"/>
        <v>ADIFSE</v>
      </c>
      <c r="C166" s="1" t="str">
        <f t="shared" si="421"/>
        <v>MAY</v>
      </c>
      <c r="D166" s="1" t="s">
        <v>108</v>
      </c>
      <c r="E166" s="122" t="str">
        <f t="shared" si="524"/>
        <v>Servicios - Total</v>
      </c>
      <c r="F166" s="120">
        <v>3</v>
      </c>
      <c r="G166" s="16" t="s">
        <v>189</v>
      </c>
      <c r="H166" s="7" t="s">
        <v>193</v>
      </c>
      <c r="I166" s="7" t="s">
        <v>173</v>
      </c>
      <c r="J166" s="32" t="s">
        <v>289</v>
      </c>
      <c r="K166" s="66"/>
      <c r="L166" s="66">
        <f t="shared" ref="L166:BW166" si="551">SUM(L157:L165)</f>
        <v>0</v>
      </c>
      <c r="M166" s="66">
        <f t="shared" si="551"/>
        <v>0</v>
      </c>
      <c r="N166" s="66">
        <f t="shared" si="551"/>
        <v>0</v>
      </c>
      <c r="O166" s="66">
        <f t="shared" si="551"/>
        <v>0</v>
      </c>
      <c r="P166" s="66">
        <f t="shared" si="551"/>
        <v>0</v>
      </c>
      <c r="Q166" s="67">
        <f t="shared" si="551"/>
        <v>0</v>
      </c>
      <c r="R166" s="66">
        <f t="shared" si="551"/>
        <v>7142021.5699999994</v>
      </c>
      <c r="S166" s="66">
        <f t="shared" si="551"/>
        <v>0</v>
      </c>
      <c r="T166" s="66">
        <f t="shared" si="551"/>
        <v>0</v>
      </c>
      <c r="U166" s="66">
        <f t="shared" si="551"/>
        <v>0</v>
      </c>
      <c r="V166" s="66">
        <f t="shared" si="551"/>
        <v>0</v>
      </c>
      <c r="W166" s="68">
        <f t="shared" si="551"/>
        <v>7142021.5699999994</v>
      </c>
      <c r="X166" s="66">
        <f t="shared" si="551"/>
        <v>0</v>
      </c>
      <c r="Y166" s="66">
        <f t="shared" si="551"/>
        <v>0</v>
      </c>
      <c r="Z166" s="66">
        <f t="shared" si="551"/>
        <v>0</v>
      </c>
      <c r="AA166" s="66">
        <f t="shared" si="551"/>
        <v>8481249.3300000001</v>
      </c>
      <c r="AB166" s="66">
        <f t="shared" si="551"/>
        <v>0</v>
      </c>
      <c r="AC166" s="68">
        <f t="shared" si="551"/>
        <v>8481249.3300000001</v>
      </c>
      <c r="AD166" s="66">
        <f t="shared" si="551"/>
        <v>7439966.4900000002</v>
      </c>
      <c r="AE166" s="66">
        <f t="shared" si="551"/>
        <v>0</v>
      </c>
      <c r="AF166" s="66">
        <f t="shared" si="551"/>
        <v>0</v>
      </c>
      <c r="AG166" s="66">
        <f t="shared" si="551"/>
        <v>7438966.4900000002</v>
      </c>
      <c r="AH166" s="66">
        <f t="shared" si="551"/>
        <v>0</v>
      </c>
      <c r="AI166" s="68">
        <f t="shared" si="551"/>
        <v>14878932.98</v>
      </c>
      <c r="AJ166" s="66">
        <f t="shared" si="551"/>
        <v>9664545.6700000018</v>
      </c>
      <c r="AK166" s="66">
        <f t="shared" si="551"/>
        <v>0</v>
      </c>
      <c r="AL166" s="66">
        <f t="shared" si="551"/>
        <v>0</v>
      </c>
      <c r="AM166" s="66">
        <f t="shared" si="551"/>
        <v>0</v>
      </c>
      <c r="AN166" s="66">
        <f t="shared" si="551"/>
        <v>0</v>
      </c>
      <c r="AO166" s="68">
        <f t="shared" si="551"/>
        <v>9664545.6700000018</v>
      </c>
      <c r="AP166" s="66">
        <f t="shared" si="551"/>
        <v>8335449.7999999989</v>
      </c>
      <c r="AQ166" s="66">
        <f t="shared" si="551"/>
        <v>0</v>
      </c>
      <c r="AR166" s="66">
        <f t="shared" si="551"/>
        <v>0</v>
      </c>
      <c r="AS166" s="66">
        <f t="shared" si="551"/>
        <v>0</v>
      </c>
      <c r="AT166" s="66">
        <f t="shared" si="551"/>
        <v>0</v>
      </c>
      <c r="AU166" s="68">
        <f t="shared" si="551"/>
        <v>8335449.7999999989</v>
      </c>
      <c r="AV166" s="66">
        <f t="shared" si="551"/>
        <v>0</v>
      </c>
      <c r="AW166" s="66">
        <f t="shared" si="551"/>
        <v>0</v>
      </c>
      <c r="AX166" s="66">
        <f t="shared" si="551"/>
        <v>0</v>
      </c>
      <c r="AY166" s="66">
        <f t="shared" si="551"/>
        <v>0</v>
      </c>
      <c r="AZ166" s="66">
        <f t="shared" si="551"/>
        <v>0</v>
      </c>
      <c r="BA166" s="68">
        <f t="shared" si="551"/>
        <v>0</v>
      </c>
      <c r="BB166" s="66">
        <f t="shared" si="551"/>
        <v>0</v>
      </c>
      <c r="BC166" s="66">
        <f t="shared" si="551"/>
        <v>0</v>
      </c>
      <c r="BD166" s="66">
        <f t="shared" si="551"/>
        <v>0</v>
      </c>
      <c r="BE166" s="66">
        <f t="shared" si="551"/>
        <v>0</v>
      </c>
      <c r="BF166" s="66">
        <f t="shared" si="551"/>
        <v>0</v>
      </c>
      <c r="BG166" s="68">
        <f t="shared" si="551"/>
        <v>0</v>
      </c>
      <c r="BH166" s="66">
        <f t="shared" si="551"/>
        <v>0</v>
      </c>
      <c r="BI166" s="66">
        <f t="shared" si="551"/>
        <v>0</v>
      </c>
      <c r="BJ166" s="66">
        <f t="shared" si="551"/>
        <v>0</v>
      </c>
      <c r="BK166" s="66">
        <f t="shared" si="551"/>
        <v>0</v>
      </c>
      <c r="BL166" s="66">
        <f t="shared" si="551"/>
        <v>0</v>
      </c>
      <c r="BM166" s="68">
        <f t="shared" si="551"/>
        <v>0</v>
      </c>
      <c r="BN166" s="66">
        <f t="shared" si="551"/>
        <v>0</v>
      </c>
      <c r="BO166" s="66">
        <f t="shared" si="551"/>
        <v>0</v>
      </c>
      <c r="BP166" s="66">
        <f t="shared" si="551"/>
        <v>0</v>
      </c>
      <c r="BQ166" s="66">
        <f t="shared" si="551"/>
        <v>0</v>
      </c>
      <c r="BR166" s="66">
        <f t="shared" si="551"/>
        <v>0</v>
      </c>
      <c r="BS166" s="68">
        <f t="shared" si="551"/>
        <v>0</v>
      </c>
      <c r="BT166" s="66">
        <f t="shared" si="551"/>
        <v>0</v>
      </c>
      <c r="BU166" s="66">
        <f t="shared" si="551"/>
        <v>0</v>
      </c>
      <c r="BV166" s="66">
        <f t="shared" si="551"/>
        <v>0</v>
      </c>
      <c r="BW166" s="66">
        <f t="shared" si="551"/>
        <v>0</v>
      </c>
      <c r="BX166" s="66">
        <f t="shared" ref="BX166:CK166" si="552">SUM(BX157:BX165)</f>
        <v>0</v>
      </c>
      <c r="BY166" s="68">
        <f t="shared" si="552"/>
        <v>0</v>
      </c>
      <c r="BZ166" s="66">
        <f t="shared" si="552"/>
        <v>0</v>
      </c>
      <c r="CA166" s="66">
        <f t="shared" si="552"/>
        <v>0</v>
      </c>
      <c r="CB166" s="66">
        <f t="shared" si="552"/>
        <v>0</v>
      </c>
      <c r="CC166" s="66">
        <f t="shared" si="552"/>
        <v>0</v>
      </c>
      <c r="CD166" s="66">
        <f t="shared" si="552"/>
        <v>0</v>
      </c>
      <c r="CE166" s="68">
        <f t="shared" si="552"/>
        <v>0</v>
      </c>
      <c r="CF166" s="66">
        <f t="shared" si="552"/>
        <v>0</v>
      </c>
      <c r="CG166" s="66">
        <f t="shared" si="552"/>
        <v>0</v>
      </c>
      <c r="CH166" s="66">
        <f t="shared" si="552"/>
        <v>0</v>
      </c>
      <c r="CI166" s="66">
        <f t="shared" si="552"/>
        <v>0</v>
      </c>
      <c r="CJ166" s="66">
        <f t="shared" si="552"/>
        <v>0</v>
      </c>
      <c r="CK166" s="68">
        <f t="shared" si="552"/>
        <v>0</v>
      </c>
      <c r="CL166" s="67">
        <f t="shared" si="538"/>
        <v>32581983.530000001</v>
      </c>
      <c r="CM166" s="67">
        <f t="shared" si="538"/>
        <v>0</v>
      </c>
      <c r="CN166" s="67">
        <f t="shared" si="538"/>
        <v>0</v>
      </c>
      <c r="CO166" s="67">
        <f t="shared" si="538"/>
        <v>15920215.82</v>
      </c>
      <c r="CP166" s="67">
        <f t="shared" si="538"/>
        <v>0</v>
      </c>
      <c r="CQ166" s="67">
        <f t="shared" si="538"/>
        <v>48502199.349999994</v>
      </c>
      <c r="CR166" s="37">
        <f t="shared" si="539"/>
        <v>7142021.5699999994</v>
      </c>
      <c r="CS166" s="39">
        <f t="shared" si="540"/>
        <v>8481249.3300000001</v>
      </c>
      <c r="CT166" s="53">
        <f t="shared" si="541"/>
        <v>14878932.98</v>
      </c>
      <c r="CU166" s="39">
        <f t="shared" si="542"/>
        <v>9664545.6700000018</v>
      </c>
      <c r="CV166" s="39">
        <f t="shared" si="543"/>
        <v>8335449.7999999989</v>
      </c>
      <c r="CW166" s="39">
        <f t="shared" si="544"/>
        <v>0</v>
      </c>
      <c r="CX166" s="39">
        <f t="shared" si="545"/>
        <v>0</v>
      </c>
      <c r="CY166" s="39">
        <f t="shared" si="546"/>
        <v>0</v>
      </c>
      <c r="CZ166" s="39">
        <f t="shared" si="547"/>
        <v>0</v>
      </c>
      <c r="DA166" s="39">
        <f t="shared" si="548"/>
        <v>0</v>
      </c>
      <c r="DB166" s="39">
        <f t="shared" si="549"/>
        <v>0</v>
      </c>
      <c r="DC166" s="39">
        <f t="shared" si="550"/>
        <v>0</v>
      </c>
      <c r="DD166" s="39">
        <f>+HLOOKUP('Reporte Evolución Mensual'!$F$2-2,$CR$2:$DC$251, Input!$DG166, FALSE)</f>
        <v>0</v>
      </c>
      <c r="DE166" s="39">
        <f>+HLOOKUP('Reporte Evolución Mensual'!$F$2-1,$CR$2:$DC$251, Input!$DG166, FALSE)</f>
        <v>0</v>
      </c>
      <c r="DF166" s="39">
        <f>+HLOOKUP('Reporte Evolución Mensual'!$F$2,$CR$2:$DC$251, Input!$DG166, FALSE)</f>
        <v>0</v>
      </c>
      <c r="DG166" s="40">
        <f t="shared" si="479"/>
        <v>166</v>
      </c>
      <c r="DH166" s="39"/>
      <c r="DI166" s="39"/>
      <c r="DJ166" s="39"/>
      <c r="DK166" s="39"/>
      <c r="DL166" s="39"/>
      <c r="DM166" s="39"/>
      <c r="DN166" s="39"/>
      <c r="DO166" s="58"/>
      <c r="DP166" s="58"/>
      <c r="DQ166" s="58"/>
      <c r="DR166" s="58"/>
      <c r="DS166" s="1"/>
      <c r="DT166" s="1"/>
      <c r="DU166" s="1"/>
      <c r="DV166" s="345" t="s">
        <v>163</v>
      </c>
    </row>
    <row r="167" spans="1:126" ht="15" customHeight="1" x14ac:dyDescent="0.3">
      <c r="A167" s="1" t="str">
        <f t="shared" si="419"/>
        <v>ADIFSE</v>
      </c>
      <c r="B167" s="1" t="str">
        <f t="shared" si="420"/>
        <v>ADIFSE</v>
      </c>
      <c r="C167" s="1" t="str">
        <f t="shared" si="421"/>
        <v>MAY</v>
      </c>
      <c r="D167" s="1" t="s">
        <v>108</v>
      </c>
      <c r="E167" s="123" t="s">
        <v>333</v>
      </c>
      <c r="F167" s="120"/>
      <c r="G167" s="16"/>
      <c r="H167" s="7"/>
      <c r="I167" s="7"/>
      <c r="J167" s="7"/>
      <c r="K167" s="66"/>
      <c r="L167" s="66"/>
      <c r="M167" s="66"/>
      <c r="N167" s="66"/>
      <c r="O167" s="66"/>
      <c r="P167" s="66"/>
      <c r="Q167" s="67"/>
      <c r="R167" s="66"/>
      <c r="S167" s="66"/>
      <c r="T167" s="66"/>
      <c r="U167" s="66"/>
      <c r="V167" s="66"/>
      <c r="W167" s="68"/>
      <c r="X167" s="66"/>
      <c r="Y167" s="66"/>
      <c r="Z167" s="66"/>
      <c r="AA167" s="66"/>
      <c r="AB167" s="66"/>
      <c r="AC167" s="68"/>
      <c r="AD167" s="66"/>
      <c r="AE167" s="66"/>
      <c r="AF167" s="66"/>
      <c r="AG167" s="66"/>
      <c r="AH167" s="66"/>
      <c r="AI167" s="68"/>
      <c r="AJ167" s="66"/>
      <c r="AK167" s="66"/>
      <c r="AL167" s="66"/>
      <c r="AM167" s="66"/>
      <c r="AN167" s="66"/>
      <c r="AO167" s="68"/>
      <c r="AP167" s="66"/>
      <c r="AQ167" s="66"/>
      <c r="AR167" s="66"/>
      <c r="AS167" s="66"/>
      <c r="AT167" s="66"/>
      <c r="AU167" s="68"/>
      <c r="AV167" s="66"/>
      <c r="AW167" s="66"/>
      <c r="AX167" s="66"/>
      <c r="AY167" s="66"/>
      <c r="AZ167" s="66"/>
      <c r="BA167" s="68"/>
      <c r="BB167" s="66"/>
      <c r="BC167" s="66"/>
      <c r="BD167" s="66"/>
      <c r="BE167" s="66"/>
      <c r="BF167" s="66"/>
      <c r="BG167" s="68"/>
      <c r="BH167" s="66"/>
      <c r="BI167" s="66"/>
      <c r="BJ167" s="66"/>
      <c r="BK167" s="66"/>
      <c r="BL167" s="66"/>
      <c r="BM167" s="68"/>
      <c r="BN167" s="66"/>
      <c r="BO167" s="66"/>
      <c r="BP167" s="66"/>
      <c r="BQ167" s="66"/>
      <c r="BR167" s="66"/>
      <c r="BS167" s="68"/>
      <c r="BT167" s="66"/>
      <c r="BU167" s="66"/>
      <c r="BV167" s="66"/>
      <c r="BW167" s="66"/>
      <c r="BX167" s="66"/>
      <c r="BY167" s="68"/>
      <c r="BZ167" s="66"/>
      <c r="CA167" s="66"/>
      <c r="CB167" s="66"/>
      <c r="CC167" s="66"/>
      <c r="CD167" s="66"/>
      <c r="CE167" s="68"/>
      <c r="CF167" s="66"/>
      <c r="CG167" s="66"/>
      <c r="CH167" s="66"/>
      <c r="CI167" s="66"/>
      <c r="CJ167" s="66"/>
      <c r="CK167" s="68"/>
      <c r="CL167" s="67"/>
      <c r="CM167" s="67"/>
      <c r="CN167" s="67"/>
      <c r="CO167" s="67"/>
      <c r="CP167" s="67"/>
      <c r="CQ167" s="67"/>
      <c r="CR167" s="37"/>
      <c r="CS167" s="39"/>
      <c r="CT167" s="53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>
        <f>+HLOOKUP('Reporte Evolución Mensual'!$F$2-2,$CR$2:$DC$251, Input!$DG167, FALSE)</f>
        <v>0</v>
      </c>
      <c r="DE167" s="39">
        <f>+HLOOKUP('Reporte Evolución Mensual'!$F$2-1,$CR$2:$DC$251, Input!$DG167, FALSE)</f>
        <v>0</v>
      </c>
      <c r="DF167" s="39">
        <f>+HLOOKUP('Reporte Evolución Mensual'!$F$2,$CR$2:$DC$251, Input!$DG167, FALSE)</f>
        <v>0</v>
      </c>
      <c r="DG167" s="40">
        <f t="shared" si="479"/>
        <v>167</v>
      </c>
      <c r="DH167" s="39"/>
      <c r="DI167" s="39"/>
      <c r="DJ167" s="39"/>
      <c r="DK167" s="39"/>
      <c r="DL167" s="39"/>
      <c r="DM167" s="39"/>
      <c r="DN167" s="39"/>
      <c r="DO167" s="58"/>
      <c r="DP167" s="58"/>
      <c r="DQ167" s="58"/>
      <c r="DR167" s="58"/>
      <c r="DS167" s="1"/>
      <c r="DT167" s="1"/>
      <c r="DU167" s="1"/>
      <c r="DV167" s="345"/>
    </row>
    <row r="168" spans="1:126" ht="15" customHeight="1" x14ac:dyDescent="0.3">
      <c r="A168" s="1" t="str">
        <f t="shared" si="419"/>
        <v>ADIFSE</v>
      </c>
      <c r="B168" s="1" t="str">
        <f t="shared" si="420"/>
        <v>ADIFSE</v>
      </c>
      <c r="C168" s="1" t="str">
        <f t="shared" si="421"/>
        <v>MAY</v>
      </c>
      <c r="D168" s="1" t="s">
        <v>108</v>
      </c>
      <c r="E168" s="124" t="s">
        <v>222</v>
      </c>
      <c r="F168" s="120"/>
      <c r="G168" s="16"/>
      <c r="H168" s="7"/>
      <c r="I168" s="7"/>
      <c r="J168" s="7"/>
      <c r="K168" s="66"/>
      <c r="L168" s="66"/>
      <c r="M168" s="66"/>
      <c r="N168" s="66"/>
      <c r="O168" s="66"/>
      <c r="P168" s="66"/>
      <c r="Q168" s="67"/>
      <c r="R168" s="66"/>
      <c r="S168" s="66"/>
      <c r="T168" s="66"/>
      <c r="U168" s="66"/>
      <c r="V168" s="66"/>
      <c r="W168" s="68"/>
      <c r="X168" s="66"/>
      <c r="Y168" s="66"/>
      <c r="Z168" s="66"/>
      <c r="AA168" s="66"/>
      <c r="AB168" s="66"/>
      <c r="AC168" s="68"/>
      <c r="AD168" s="66"/>
      <c r="AE168" s="66"/>
      <c r="AF168" s="66"/>
      <c r="AG168" s="66"/>
      <c r="AH168" s="66"/>
      <c r="AI168" s="68"/>
      <c r="AJ168" s="66"/>
      <c r="AK168" s="66"/>
      <c r="AL168" s="66"/>
      <c r="AM168" s="66"/>
      <c r="AN168" s="66"/>
      <c r="AO168" s="68"/>
      <c r="AP168" s="66"/>
      <c r="AQ168" s="66"/>
      <c r="AR168" s="66"/>
      <c r="AS168" s="66"/>
      <c r="AT168" s="66"/>
      <c r="AU168" s="68"/>
      <c r="AV168" s="66"/>
      <c r="AW168" s="66"/>
      <c r="AX168" s="66"/>
      <c r="AY168" s="66"/>
      <c r="AZ168" s="66"/>
      <c r="BA168" s="68"/>
      <c r="BB168" s="66"/>
      <c r="BC168" s="66"/>
      <c r="BD168" s="66"/>
      <c r="BE168" s="66"/>
      <c r="BF168" s="66"/>
      <c r="BG168" s="68"/>
      <c r="BH168" s="66"/>
      <c r="BI168" s="66"/>
      <c r="BJ168" s="66"/>
      <c r="BK168" s="66"/>
      <c r="BL168" s="66"/>
      <c r="BM168" s="68"/>
      <c r="BN168" s="66"/>
      <c r="BO168" s="66"/>
      <c r="BP168" s="66"/>
      <c r="BQ168" s="66"/>
      <c r="BR168" s="66"/>
      <c r="BS168" s="68"/>
      <c r="BT168" s="66"/>
      <c r="BU168" s="66"/>
      <c r="BV168" s="66"/>
      <c r="BW168" s="66"/>
      <c r="BX168" s="66"/>
      <c r="BY168" s="68"/>
      <c r="BZ168" s="66"/>
      <c r="CA168" s="66"/>
      <c r="CB168" s="66"/>
      <c r="CC168" s="66"/>
      <c r="CD168" s="66"/>
      <c r="CE168" s="68"/>
      <c r="CF168" s="66"/>
      <c r="CG168" s="66"/>
      <c r="CH168" s="66"/>
      <c r="CI168" s="66"/>
      <c r="CJ168" s="66"/>
      <c r="CK168" s="68"/>
      <c r="CL168" s="67"/>
      <c r="CM168" s="67"/>
      <c r="CN168" s="67"/>
      <c r="CO168" s="67"/>
      <c r="CP168" s="67"/>
      <c r="CQ168" s="67"/>
      <c r="CR168" s="37"/>
      <c r="CS168" s="39"/>
      <c r="CT168" s="53"/>
      <c r="CU168" s="39"/>
      <c r="CV168" s="39"/>
      <c r="CW168" s="39"/>
      <c r="CX168" s="39"/>
      <c r="CY168" s="39"/>
      <c r="CZ168" s="39"/>
      <c r="DA168" s="39"/>
      <c r="DB168" s="39"/>
      <c r="DC168" s="39"/>
      <c r="DD168" s="39">
        <f>+HLOOKUP('Reporte Evolución Mensual'!$F$2-2,$CR$2:$DC$251, Input!$DG168, FALSE)</f>
        <v>0</v>
      </c>
      <c r="DE168" s="39">
        <f>+HLOOKUP('Reporte Evolución Mensual'!$F$2-1,$CR$2:$DC$251, Input!$DG168, FALSE)</f>
        <v>0</v>
      </c>
      <c r="DF168" s="39">
        <f>+HLOOKUP('Reporte Evolución Mensual'!$F$2,$CR$2:$DC$251, Input!$DG168, FALSE)</f>
        <v>0</v>
      </c>
      <c r="DG168" s="40">
        <f t="shared" si="479"/>
        <v>168</v>
      </c>
      <c r="DH168" s="39"/>
      <c r="DI168" s="39"/>
      <c r="DJ168" s="39"/>
      <c r="DK168" s="39"/>
      <c r="DL168" s="39"/>
      <c r="DM168" s="39"/>
      <c r="DN168" s="39"/>
      <c r="DO168" s="58"/>
      <c r="DP168" s="58"/>
      <c r="DQ168" s="58"/>
      <c r="DR168" s="58"/>
      <c r="DS168" s="1"/>
      <c r="DT168" s="1"/>
      <c r="DU168" s="1"/>
      <c r="DV168" s="345"/>
    </row>
    <row r="169" spans="1:126" ht="15" customHeight="1" x14ac:dyDescent="0.3">
      <c r="A169" s="1" t="str">
        <f t="shared" si="419"/>
        <v>ADIFSE</v>
      </c>
      <c r="B169" s="1" t="str">
        <f t="shared" si="420"/>
        <v>ADIFSE</v>
      </c>
      <c r="C169" s="1" t="str">
        <f t="shared" si="421"/>
        <v>MAY</v>
      </c>
      <c r="D169" s="16" t="s">
        <v>163</v>
      </c>
      <c r="E169" s="123" t="str">
        <f t="shared" ref="E169:E170" si="553">CONCATENATE(H169," - ",I169)</f>
        <v>Transferencias al Sector Privado - Aerolíneas Argentinas</v>
      </c>
      <c r="F169" s="120" t="s">
        <v>204</v>
      </c>
      <c r="G169" s="16" t="s">
        <v>189</v>
      </c>
      <c r="H169" s="7" t="s">
        <v>205</v>
      </c>
      <c r="I169" s="7" t="s">
        <v>206</v>
      </c>
      <c r="J169" s="32" t="s">
        <v>289</v>
      </c>
      <c r="K169" s="38"/>
      <c r="L169" s="51"/>
      <c r="M169" s="51"/>
      <c r="N169" s="51"/>
      <c r="O169" s="51"/>
      <c r="P169" s="51"/>
      <c r="Q169" s="35">
        <f t="shared" ref="Q169:Q170" si="554">SUM(L169:P169)</f>
        <v>0</v>
      </c>
      <c r="R169" s="51"/>
      <c r="S169" s="51"/>
      <c r="T169" s="51"/>
      <c r="U169" s="51"/>
      <c r="V169" s="51"/>
      <c r="W169" s="52">
        <f t="shared" ref="W169:W170" si="555">SUM(R169:V169)</f>
        <v>0</v>
      </c>
      <c r="X169" s="51"/>
      <c r="Y169" s="51"/>
      <c r="Z169" s="51"/>
      <c r="AA169" s="51"/>
      <c r="AB169" s="51"/>
      <c r="AC169" s="52">
        <f t="shared" ref="AC169:AC170" si="556">SUM(X169:AB169)</f>
        <v>0</v>
      </c>
      <c r="AD169" s="51"/>
      <c r="AE169" s="51"/>
      <c r="AF169" s="51"/>
      <c r="AG169" s="51"/>
      <c r="AH169" s="51"/>
      <c r="AI169" s="52">
        <f t="shared" ref="AI169:AI170" si="557">SUM(AD169:AH169)</f>
        <v>0</v>
      </c>
      <c r="AJ169" s="51"/>
      <c r="AK169" s="51"/>
      <c r="AL169" s="51"/>
      <c r="AM169" s="51"/>
      <c r="AN169" s="51"/>
      <c r="AO169" s="52">
        <f t="shared" ref="AO169:AO170" si="558">SUM(AJ169:AN169)</f>
        <v>0</v>
      </c>
      <c r="AP169" s="51"/>
      <c r="AQ169" s="51"/>
      <c r="AR169" s="51"/>
      <c r="AS169" s="51"/>
      <c r="AT169" s="51"/>
      <c r="AU169" s="52">
        <f t="shared" ref="AU169:AU170" si="559">SUM(AP169:AT169)</f>
        <v>0</v>
      </c>
      <c r="AV169" s="51"/>
      <c r="AW169" s="51"/>
      <c r="AX169" s="51"/>
      <c r="AY169" s="51"/>
      <c r="AZ169" s="51"/>
      <c r="BA169" s="52">
        <f t="shared" ref="BA169:BA170" si="560">SUM(AV169:AZ169)</f>
        <v>0</v>
      </c>
      <c r="BB169" s="51"/>
      <c r="BC169" s="51"/>
      <c r="BD169" s="51"/>
      <c r="BE169" s="51"/>
      <c r="BF169" s="51"/>
      <c r="BG169" s="52">
        <f t="shared" ref="BG169:BG170" si="561">SUM(BB169:BF169)</f>
        <v>0</v>
      </c>
      <c r="BH169" s="51"/>
      <c r="BI169" s="51"/>
      <c r="BJ169" s="51"/>
      <c r="BK169" s="51"/>
      <c r="BL169" s="51"/>
      <c r="BM169" s="52">
        <f t="shared" ref="BM169:BM170" si="562">SUM(BH169:BL169)</f>
        <v>0</v>
      </c>
      <c r="BN169" s="51"/>
      <c r="BO169" s="51"/>
      <c r="BP169" s="51"/>
      <c r="BQ169" s="51"/>
      <c r="BR169" s="51"/>
      <c r="BS169" s="52">
        <f t="shared" ref="BS169:BS170" si="563">SUM(BN169:BR169)</f>
        <v>0</v>
      </c>
      <c r="BT169" s="51"/>
      <c r="BU169" s="51"/>
      <c r="BV169" s="51"/>
      <c r="BW169" s="51"/>
      <c r="BX169" s="51"/>
      <c r="BY169" s="52">
        <f t="shared" ref="BY169:BY170" si="564">SUM(BT169:BX169)</f>
        <v>0</v>
      </c>
      <c r="BZ169" s="51"/>
      <c r="CA169" s="51"/>
      <c r="CB169" s="51"/>
      <c r="CC169" s="51"/>
      <c r="CD169" s="51"/>
      <c r="CE169" s="52">
        <f t="shared" ref="CE169:CE170" si="565">SUM(BZ169:CD169)</f>
        <v>0</v>
      </c>
      <c r="CF169" s="51"/>
      <c r="CG169" s="51"/>
      <c r="CH169" s="51"/>
      <c r="CI169" s="51"/>
      <c r="CJ169" s="51"/>
      <c r="CK169" s="52">
        <f t="shared" ref="CK169:CK170" si="566">SUM(CF169:CJ169)</f>
        <v>0</v>
      </c>
      <c r="CL169" s="35">
        <f t="shared" ref="CL169:CQ179" si="567">+R169+X169+AD169+AJ169+AP169+AV169+BB169+BH169+BN169+BT169+BZ169+CF169</f>
        <v>0</v>
      </c>
      <c r="CM169" s="35">
        <f t="shared" si="567"/>
        <v>0</v>
      </c>
      <c r="CN169" s="35">
        <f t="shared" si="567"/>
        <v>0</v>
      </c>
      <c r="CO169" s="35">
        <f t="shared" si="567"/>
        <v>0</v>
      </c>
      <c r="CP169" s="35">
        <f t="shared" si="567"/>
        <v>0</v>
      </c>
      <c r="CQ169" s="35">
        <f t="shared" si="567"/>
        <v>0</v>
      </c>
      <c r="CR169" s="37">
        <f t="shared" ref="CR169:CR179" si="568">+W169</f>
        <v>0</v>
      </c>
      <c r="CS169" s="39">
        <f t="shared" ref="CS169:CS179" si="569">+AC169</f>
        <v>0</v>
      </c>
      <c r="CT169" s="53">
        <f t="shared" ref="CT169:CT179" si="570">+AI169</f>
        <v>0</v>
      </c>
      <c r="CU169" s="39">
        <f t="shared" ref="CU169:CU179" si="571">+AO169</f>
        <v>0</v>
      </c>
      <c r="CV169" s="39">
        <f t="shared" ref="CV169:CV179" si="572">+AU169</f>
        <v>0</v>
      </c>
      <c r="CW169" s="39">
        <f t="shared" ref="CW169:CW179" si="573">+BA169</f>
        <v>0</v>
      </c>
      <c r="CX169" s="39">
        <f t="shared" ref="CX169:CX179" si="574">+BG169</f>
        <v>0</v>
      </c>
      <c r="CY169" s="39">
        <f t="shared" ref="CY169:CY179" si="575">+BM169</f>
        <v>0</v>
      </c>
      <c r="CZ169" s="39">
        <f t="shared" ref="CZ169:CZ179" si="576">+BS169</f>
        <v>0</v>
      </c>
      <c r="DA169" s="39">
        <f t="shared" ref="DA169:DA179" si="577">+BY169</f>
        <v>0</v>
      </c>
      <c r="DB169" s="39">
        <f t="shared" ref="DB169:DB179" si="578">+CE169</f>
        <v>0</v>
      </c>
      <c r="DC169" s="39">
        <f t="shared" ref="DC169:DC179" si="579">+CK169</f>
        <v>0</v>
      </c>
      <c r="DD169" s="39">
        <f>+HLOOKUP('Reporte Evolución Mensual'!$F$2-2,$CR$2:$DC$251, Input!$DG169, FALSE)</f>
        <v>0</v>
      </c>
      <c r="DE169" s="39">
        <f>+HLOOKUP('Reporte Evolución Mensual'!$F$2-1,$CR$2:$DC$251, Input!$DG169, FALSE)</f>
        <v>0</v>
      </c>
      <c r="DF169" s="39">
        <f>+HLOOKUP('Reporte Evolución Mensual'!$F$2,$CR$2:$DC$251, Input!$DG169, FALSE)</f>
        <v>0</v>
      </c>
      <c r="DG169" s="40">
        <f t="shared" si="479"/>
        <v>169</v>
      </c>
      <c r="DH169" s="39"/>
      <c r="DI169" s="39"/>
      <c r="DJ169" s="39"/>
      <c r="DK169" s="39"/>
      <c r="DL169" s="39"/>
      <c r="DM169" s="39"/>
      <c r="DN169" s="39"/>
      <c r="DO169" s="58"/>
      <c r="DP169" s="58"/>
      <c r="DQ169" s="58"/>
      <c r="DR169" s="58"/>
      <c r="DS169" s="1"/>
      <c r="DT169" s="1"/>
      <c r="DU169" s="1"/>
      <c r="DV169" s="345"/>
    </row>
    <row r="170" spans="1:126" ht="15" customHeight="1" x14ac:dyDescent="0.3">
      <c r="A170" s="1" t="str">
        <f t="shared" si="419"/>
        <v>ADIFSE</v>
      </c>
      <c r="B170" s="1" t="str">
        <f t="shared" si="420"/>
        <v>ADIFSE</v>
      </c>
      <c r="C170" s="1" t="str">
        <f t="shared" si="421"/>
        <v>MAY</v>
      </c>
      <c r="D170" s="16" t="s">
        <v>163</v>
      </c>
      <c r="E170" s="123" t="str">
        <f t="shared" si="553"/>
        <v>Transferencias al Sector Privado - Resto</v>
      </c>
      <c r="F170" s="120" t="s">
        <v>207</v>
      </c>
      <c r="G170" s="16" t="s">
        <v>189</v>
      </c>
      <c r="H170" s="7" t="s">
        <v>205</v>
      </c>
      <c r="I170" s="7" t="s">
        <v>208</v>
      </c>
      <c r="J170" s="32" t="s">
        <v>289</v>
      </c>
      <c r="K170" s="38"/>
      <c r="L170" s="51"/>
      <c r="M170" s="51"/>
      <c r="N170" s="51"/>
      <c r="O170" s="51"/>
      <c r="P170" s="51"/>
      <c r="Q170" s="35">
        <f t="shared" si="554"/>
        <v>0</v>
      </c>
      <c r="R170" s="51"/>
      <c r="S170" s="51"/>
      <c r="T170" s="51"/>
      <c r="U170" s="51"/>
      <c r="V170" s="51"/>
      <c r="W170" s="52">
        <f t="shared" si="555"/>
        <v>0</v>
      </c>
      <c r="X170" s="51"/>
      <c r="Y170" s="51"/>
      <c r="Z170" s="51"/>
      <c r="AA170" s="51"/>
      <c r="AB170" s="51"/>
      <c r="AC170" s="52">
        <f t="shared" si="556"/>
        <v>0</v>
      </c>
      <c r="AD170" s="51"/>
      <c r="AE170" s="51"/>
      <c r="AF170" s="51"/>
      <c r="AG170" s="51"/>
      <c r="AH170" s="51"/>
      <c r="AI170" s="52">
        <f t="shared" si="557"/>
        <v>0</v>
      </c>
      <c r="AJ170" s="51"/>
      <c r="AK170" s="51"/>
      <c r="AL170" s="51"/>
      <c r="AM170" s="51"/>
      <c r="AN170" s="51"/>
      <c r="AO170" s="52">
        <f t="shared" si="558"/>
        <v>0</v>
      </c>
      <c r="AP170" s="51"/>
      <c r="AQ170" s="51"/>
      <c r="AR170" s="51"/>
      <c r="AS170" s="51"/>
      <c r="AT170" s="51"/>
      <c r="AU170" s="52">
        <f t="shared" si="559"/>
        <v>0</v>
      </c>
      <c r="AV170" s="51"/>
      <c r="AW170" s="51"/>
      <c r="AX170" s="51"/>
      <c r="AY170" s="51"/>
      <c r="AZ170" s="51"/>
      <c r="BA170" s="52">
        <f t="shared" si="560"/>
        <v>0</v>
      </c>
      <c r="BB170" s="51"/>
      <c r="BC170" s="51"/>
      <c r="BD170" s="51"/>
      <c r="BE170" s="51"/>
      <c r="BF170" s="51"/>
      <c r="BG170" s="52">
        <f t="shared" si="561"/>
        <v>0</v>
      </c>
      <c r="BH170" s="51"/>
      <c r="BI170" s="51"/>
      <c r="BJ170" s="51"/>
      <c r="BK170" s="51"/>
      <c r="BL170" s="51"/>
      <c r="BM170" s="52">
        <f t="shared" si="562"/>
        <v>0</v>
      </c>
      <c r="BN170" s="51"/>
      <c r="BO170" s="51"/>
      <c r="BP170" s="51"/>
      <c r="BQ170" s="51"/>
      <c r="BR170" s="51"/>
      <c r="BS170" s="52">
        <f t="shared" si="563"/>
        <v>0</v>
      </c>
      <c r="BT170" s="51"/>
      <c r="BU170" s="51"/>
      <c r="BV170" s="51"/>
      <c r="BW170" s="51"/>
      <c r="BX170" s="51"/>
      <c r="BY170" s="52">
        <f t="shared" si="564"/>
        <v>0</v>
      </c>
      <c r="BZ170" s="51"/>
      <c r="CA170" s="51"/>
      <c r="CB170" s="51"/>
      <c r="CC170" s="51"/>
      <c r="CD170" s="51"/>
      <c r="CE170" s="52">
        <f t="shared" si="565"/>
        <v>0</v>
      </c>
      <c r="CF170" s="51"/>
      <c r="CG170" s="51"/>
      <c r="CH170" s="51"/>
      <c r="CI170" s="51"/>
      <c r="CJ170" s="51"/>
      <c r="CK170" s="52">
        <f t="shared" si="566"/>
        <v>0</v>
      </c>
      <c r="CL170" s="35">
        <f t="shared" si="567"/>
        <v>0</v>
      </c>
      <c r="CM170" s="35">
        <f t="shared" si="567"/>
        <v>0</v>
      </c>
      <c r="CN170" s="35">
        <f t="shared" si="567"/>
        <v>0</v>
      </c>
      <c r="CO170" s="35">
        <f t="shared" si="567"/>
        <v>0</v>
      </c>
      <c r="CP170" s="35">
        <f t="shared" si="567"/>
        <v>0</v>
      </c>
      <c r="CQ170" s="35">
        <f t="shared" si="567"/>
        <v>0</v>
      </c>
      <c r="CR170" s="37">
        <f t="shared" si="568"/>
        <v>0</v>
      </c>
      <c r="CS170" s="39">
        <f t="shared" si="569"/>
        <v>0</v>
      </c>
      <c r="CT170" s="53">
        <f t="shared" si="570"/>
        <v>0</v>
      </c>
      <c r="CU170" s="39">
        <f t="shared" si="571"/>
        <v>0</v>
      </c>
      <c r="CV170" s="39">
        <f t="shared" si="572"/>
        <v>0</v>
      </c>
      <c r="CW170" s="39">
        <f t="shared" si="573"/>
        <v>0</v>
      </c>
      <c r="CX170" s="39">
        <f t="shared" si="574"/>
        <v>0</v>
      </c>
      <c r="CY170" s="39">
        <f t="shared" si="575"/>
        <v>0</v>
      </c>
      <c r="CZ170" s="39">
        <f t="shared" si="576"/>
        <v>0</v>
      </c>
      <c r="DA170" s="39">
        <f t="shared" si="577"/>
        <v>0</v>
      </c>
      <c r="DB170" s="39">
        <f t="shared" si="578"/>
        <v>0</v>
      </c>
      <c r="DC170" s="39">
        <f t="shared" si="579"/>
        <v>0</v>
      </c>
      <c r="DD170" s="39">
        <f>+HLOOKUP('Reporte Evolución Mensual'!$F$2-2,$CR$2:$DC$251, Input!$DG170, FALSE)</f>
        <v>0</v>
      </c>
      <c r="DE170" s="39">
        <f>+HLOOKUP('Reporte Evolución Mensual'!$F$2-1,$CR$2:$DC$251, Input!$DG170, FALSE)</f>
        <v>0</v>
      </c>
      <c r="DF170" s="39">
        <f>+HLOOKUP('Reporte Evolución Mensual'!$F$2,$CR$2:$DC$251, Input!$DG170, FALSE)</f>
        <v>0</v>
      </c>
      <c r="DG170" s="40">
        <f t="shared" si="479"/>
        <v>170</v>
      </c>
      <c r="DH170" s="39"/>
      <c r="DI170" s="39"/>
      <c r="DJ170" s="39"/>
      <c r="DK170" s="39"/>
      <c r="DL170" s="39"/>
      <c r="DM170" s="39"/>
      <c r="DN170" s="39"/>
      <c r="DO170" s="58"/>
      <c r="DP170" s="58"/>
      <c r="DQ170" s="58"/>
      <c r="DR170" s="58"/>
      <c r="DS170" s="1"/>
      <c r="DT170" s="1"/>
      <c r="DU170" s="1"/>
      <c r="DV170" s="345" t="s">
        <v>108</v>
      </c>
    </row>
    <row r="171" spans="1:126" ht="15" customHeight="1" x14ac:dyDescent="0.3">
      <c r="A171" s="1" t="str">
        <f t="shared" si="419"/>
        <v>ADIFSE</v>
      </c>
      <c r="B171" s="1" t="str">
        <f t="shared" si="420"/>
        <v>ADIFSE</v>
      </c>
      <c r="C171" s="1" t="str">
        <f t="shared" si="421"/>
        <v>MAY</v>
      </c>
      <c r="D171" s="16" t="s">
        <v>108</v>
      </c>
      <c r="E171" s="125" t="str">
        <f>CONCATENATE(H171," - ",I171)</f>
        <v>Transferencias al Sector Privado - Total</v>
      </c>
      <c r="F171" s="120">
        <v>51</v>
      </c>
      <c r="G171" s="16" t="s">
        <v>189</v>
      </c>
      <c r="H171" s="7" t="s">
        <v>205</v>
      </c>
      <c r="I171" s="7" t="s">
        <v>173</v>
      </c>
      <c r="J171" s="32" t="s">
        <v>289</v>
      </c>
      <c r="K171" s="37"/>
      <c r="L171" s="37">
        <f t="shared" ref="L171:BW171" si="580">SUM(L169:L170)</f>
        <v>0</v>
      </c>
      <c r="M171" s="37">
        <f t="shared" si="580"/>
        <v>0</v>
      </c>
      <c r="N171" s="37">
        <f t="shared" si="580"/>
        <v>0</v>
      </c>
      <c r="O171" s="37">
        <f t="shared" si="580"/>
        <v>0</v>
      </c>
      <c r="P171" s="37">
        <f t="shared" si="580"/>
        <v>0</v>
      </c>
      <c r="Q171" s="35">
        <f t="shared" si="580"/>
        <v>0</v>
      </c>
      <c r="R171" s="38">
        <f t="shared" si="580"/>
        <v>0</v>
      </c>
      <c r="S171" s="38">
        <f t="shared" si="580"/>
        <v>0</v>
      </c>
      <c r="T171" s="38">
        <f t="shared" si="580"/>
        <v>0</v>
      </c>
      <c r="U171" s="38">
        <f t="shared" si="580"/>
        <v>0</v>
      </c>
      <c r="V171" s="38">
        <f t="shared" si="580"/>
        <v>0</v>
      </c>
      <c r="W171" s="36">
        <f t="shared" si="580"/>
        <v>0</v>
      </c>
      <c r="X171" s="38">
        <f t="shared" si="580"/>
        <v>0</v>
      </c>
      <c r="Y171" s="38">
        <f t="shared" si="580"/>
        <v>0</v>
      </c>
      <c r="Z171" s="38">
        <f t="shared" si="580"/>
        <v>0</v>
      </c>
      <c r="AA171" s="38">
        <f t="shared" si="580"/>
        <v>0</v>
      </c>
      <c r="AB171" s="38">
        <f t="shared" si="580"/>
        <v>0</v>
      </c>
      <c r="AC171" s="36">
        <f t="shared" si="580"/>
        <v>0</v>
      </c>
      <c r="AD171" s="38">
        <f t="shared" si="580"/>
        <v>0</v>
      </c>
      <c r="AE171" s="38">
        <f t="shared" si="580"/>
        <v>0</v>
      </c>
      <c r="AF171" s="38">
        <f t="shared" si="580"/>
        <v>0</v>
      </c>
      <c r="AG171" s="38">
        <f t="shared" si="580"/>
        <v>0</v>
      </c>
      <c r="AH171" s="38">
        <f t="shared" si="580"/>
        <v>0</v>
      </c>
      <c r="AI171" s="36">
        <f t="shared" si="580"/>
        <v>0</v>
      </c>
      <c r="AJ171" s="38">
        <f t="shared" si="580"/>
        <v>0</v>
      </c>
      <c r="AK171" s="38">
        <f t="shared" si="580"/>
        <v>0</v>
      </c>
      <c r="AL171" s="38">
        <f t="shared" si="580"/>
        <v>0</v>
      </c>
      <c r="AM171" s="38">
        <f t="shared" si="580"/>
        <v>0</v>
      </c>
      <c r="AN171" s="38">
        <f t="shared" si="580"/>
        <v>0</v>
      </c>
      <c r="AO171" s="36">
        <f t="shared" si="580"/>
        <v>0</v>
      </c>
      <c r="AP171" s="38">
        <f t="shared" si="580"/>
        <v>0</v>
      </c>
      <c r="AQ171" s="38">
        <f t="shared" si="580"/>
        <v>0</v>
      </c>
      <c r="AR171" s="38">
        <f t="shared" si="580"/>
        <v>0</v>
      </c>
      <c r="AS171" s="38">
        <f t="shared" si="580"/>
        <v>0</v>
      </c>
      <c r="AT171" s="38">
        <f t="shared" si="580"/>
        <v>0</v>
      </c>
      <c r="AU171" s="36">
        <f t="shared" si="580"/>
        <v>0</v>
      </c>
      <c r="AV171" s="38">
        <f t="shared" si="580"/>
        <v>0</v>
      </c>
      <c r="AW171" s="38">
        <f t="shared" si="580"/>
        <v>0</v>
      </c>
      <c r="AX171" s="38">
        <f t="shared" si="580"/>
        <v>0</v>
      </c>
      <c r="AY171" s="38">
        <f t="shared" si="580"/>
        <v>0</v>
      </c>
      <c r="AZ171" s="38">
        <f t="shared" si="580"/>
        <v>0</v>
      </c>
      <c r="BA171" s="36">
        <f t="shared" si="580"/>
        <v>0</v>
      </c>
      <c r="BB171" s="38">
        <f t="shared" si="580"/>
        <v>0</v>
      </c>
      <c r="BC171" s="38">
        <f t="shared" si="580"/>
        <v>0</v>
      </c>
      <c r="BD171" s="38">
        <f t="shared" si="580"/>
        <v>0</v>
      </c>
      <c r="BE171" s="38">
        <f t="shared" si="580"/>
        <v>0</v>
      </c>
      <c r="BF171" s="38">
        <f t="shared" si="580"/>
        <v>0</v>
      </c>
      <c r="BG171" s="36">
        <f t="shared" si="580"/>
        <v>0</v>
      </c>
      <c r="BH171" s="38">
        <f t="shared" si="580"/>
        <v>0</v>
      </c>
      <c r="BI171" s="38">
        <f t="shared" si="580"/>
        <v>0</v>
      </c>
      <c r="BJ171" s="38">
        <f t="shared" si="580"/>
        <v>0</v>
      </c>
      <c r="BK171" s="38">
        <f t="shared" si="580"/>
        <v>0</v>
      </c>
      <c r="BL171" s="38">
        <f t="shared" si="580"/>
        <v>0</v>
      </c>
      <c r="BM171" s="36">
        <f t="shared" si="580"/>
        <v>0</v>
      </c>
      <c r="BN171" s="38">
        <f t="shared" si="580"/>
        <v>0</v>
      </c>
      <c r="BO171" s="38">
        <f t="shared" si="580"/>
        <v>0</v>
      </c>
      <c r="BP171" s="38">
        <f t="shared" si="580"/>
        <v>0</v>
      </c>
      <c r="BQ171" s="38">
        <f t="shared" si="580"/>
        <v>0</v>
      </c>
      <c r="BR171" s="38">
        <f t="shared" si="580"/>
        <v>0</v>
      </c>
      <c r="BS171" s="36">
        <f t="shared" si="580"/>
        <v>0</v>
      </c>
      <c r="BT171" s="38">
        <f t="shared" si="580"/>
        <v>0</v>
      </c>
      <c r="BU171" s="38">
        <f t="shared" si="580"/>
        <v>0</v>
      </c>
      <c r="BV171" s="38">
        <f t="shared" si="580"/>
        <v>0</v>
      </c>
      <c r="BW171" s="38">
        <f t="shared" si="580"/>
        <v>0</v>
      </c>
      <c r="BX171" s="38">
        <f t="shared" ref="BX171:CK171" si="581">SUM(BX169:BX170)</f>
        <v>0</v>
      </c>
      <c r="BY171" s="36">
        <f t="shared" si="581"/>
        <v>0</v>
      </c>
      <c r="BZ171" s="38">
        <f t="shared" si="581"/>
        <v>0</v>
      </c>
      <c r="CA171" s="38">
        <f t="shared" si="581"/>
        <v>0</v>
      </c>
      <c r="CB171" s="38">
        <f t="shared" si="581"/>
        <v>0</v>
      </c>
      <c r="CC171" s="38">
        <f t="shared" si="581"/>
        <v>0</v>
      </c>
      <c r="CD171" s="38">
        <f t="shared" si="581"/>
        <v>0</v>
      </c>
      <c r="CE171" s="36">
        <f t="shared" si="581"/>
        <v>0</v>
      </c>
      <c r="CF171" s="38">
        <f t="shared" si="581"/>
        <v>0</v>
      </c>
      <c r="CG171" s="38">
        <f t="shared" si="581"/>
        <v>0</v>
      </c>
      <c r="CH171" s="38">
        <f t="shared" si="581"/>
        <v>0</v>
      </c>
      <c r="CI171" s="38">
        <f t="shared" si="581"/>
        <v>0</v>
      </c>
      <c r="CJ171" s="38">
        <f t="shared" si="581"/>
        <v>0</v>
      </c>
      <c r="CK171" s="71">
        <f t="shared" si="581"/>
        <v>0</v>
      </c>
      <c r="CL171" s="67">
        <f t="shared" si="567"/>
        <v>0</v>
      </c>
      <c r="CM171" s="67">
        <f t="shared" si="567"/>
        <v>0</v>
      </c>
      <c r="CN171" s="67">
        <f t="shared" si="567"/>
        <v>0</v>
      </c>
      <c r="CO171" s="67">
        <f t="shared" si="567"/>
        <v>0</v>
      </c>
      <c r="CP171" s="67">
        <f t="shared" si="567"/>
        <v>0</v>
      </c>
      <c r="CQ171" s="67">
        <f t="shared" si="567"/>
        <v>0</v>
      </c>
      <c r="CR171" s="37">
        <f t="shared" si="568"/>
        <v>0</v>
      </c>
      <c r="CS171" s="39">
        <f t="shared" si="569"/>
        <v>0</v>
      </c>
      <c r="CT171" s="53">
        <f t="shared" si="570"/>
        <v>0</v>
      </c>
      <c r="CU171" s="39">
        <f t="shared" si="571"/>
        <v>0</v>
      </c>
      <c r="CV171" s="39">
        <f t="shared" si="572"/>
        <v>0</v>
      </c>
      <c r="CW171" s="39">
        <f t="shared" si="573"/>
        <v>0</v>
      </c>
      <c r="CX171" s="39">
        <f t="shared" si="574"/>
        <v>0</v>
      </c>
      <c r="CY171" s="39">
        <f t="shared" si="575"/>
        <v>0</v>
      </c>
      <c r="CZ171" s="39">
        <f t="shared" si="576"/>
        <v>0</v>
      </c>
      <c r="DA171" s="39">
        <f t="shared" si="577"/>
        <v>0</v>
      </c>
      <c r="DB171" s="39">
        <f t="shared" si="578"/>
        <v>0</v>
      </c>
      <c r="DC171" s="39">
        <f t="shared" si="579"/>
        <v>0</v>
      </c>
      <c r="DD171" s="39">
        <f>+HLOOKUP('Reporte Evolución Mensual'!$F$2-2,$CR$2:$DC$251, Input!$DG171, FALSE)</f>
        <v>0</v>
      </c>
      <c r="DE171" s="39">
        <f>+HLOOKUP('Reporte Evolución Mensual'!$F$2-1,$CR$2:$DC$251, Input!$DG171, FALSE)</f>
        <v>0</v>
      </c>
      <c r="DF171" s="39">
        <f>+HLOOKUP('Reporte Evolución Mensual'!$F$2,$CR$2:$DC$251, Input!$DG171, FALSE)</f>
        <v>0</v>
      </c>
      <c r="DG171" s="40">
        <f t="shared" si="479"/>
        <v>171</v>
      </c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345" t="s">
        <v>163</v>
      </c>
    </row>
    <row r="172" spans="1:126" ht="15" customHeight="1" x14ac:dyDescent="0.3">
      <c r="A172" s="1" t="str">
        <f t="shared" si="419"/>
        <v>ADIFSE</v>
      </c>
      <c r="B172" s="1" t="str">
        <f t="shared" si="420"/>
        <v>ADIFSE</v>
      </c>
      <c r="C172" s="1" t="str">
        <f t="shared" si="421"/>
        <v>MAY</v>
      </c>
      <c r="D172" s="16" t="s">
        <v>163</v>
      </c>
      <c r="E172" s="123" t="str">
        <f t="shared" ref="E172:E176" si="582">CONCATENATE(H172," - ",I172)</f>
        <v>Transferencias a Empresas y Otros Entes - BCyL</v>
      </c>
      <c r="F172" s="120" t="s">
        <v>209</v>
      </c>
      <c r="G172" s="16" t="s">
        <v>189</v>
      </c>
      <c r="H172" s="7" t="s">
        <v>210</v>
      </c>
      <c r="I172" s="7" t="s">
        <v>211</v>
      </c>
      <c r="J172" s="32" t="s">
        <v>289</v>
      </c>
      <c r="K172" s="38"/>
      <c r="L172" s="51"/>
      <c r="M172" s="51"/>
      <c r="N172" s="51"/>
      <c r="O172" s="51"/>
      <c r="P172" s="51"/>
      <c r="Q172" s="35">
        <f t="shared" ref="Q172:Q176" si="583">SUM(L172:P172)</f>
        <v>0</v>
      </c>
      <c r="R172" s="51"/>
      <c r="S172" s="51"/>
      <c r="T172" s="51"/>
      <c r="U172" s="51"/>
      <c r="V172" s="51"/>
      <c r="W172" s="52">
        <f t="shared" ref="W172:W176" si="584">SUM(R172:V172)</f>
        <v>0</v>
      </c>
      <c r="X172" s="51"/>
      <c r="Y172" s="51"/>
      <c r="Z172" s="51"/>
      <c r="AA172" s="51"/>
      <c r="AB172" s="51"/>
      <c r="AC172" s="52">
        <f t="shared" ref="AC172:AC176" si="585">SUM(X172:AB172)</f>
        <v>0</v>
      </c>
      <c r="AD172" s="51"/>
      <c r="AE172" s="51"/>
      <c r="AF172" s="51"/>
      <c r="AG172" s="51"/>
      <c r="AH172" s="51"/>
      <c r="AI172" s="52">
        <f t="shared" ref="AI172:AI176" si="586">SUM(AD172:AH172)</f>
        <v>0</v>
      </c>
      <c r="AJ172" s="51"/>
      <c r="AK172" s="51"/>
      <c r="AL172" s="51"/>
      <c r="AM172" s="51"/>
      <c r="AN172" s="51"/>
      <c r="AO172" s="52">
        <f t="shared" ref="AO172:AO176" si="587">SUM(AJ172:AN172)</f>
        <v>0</v>
      </c>
      <c r="AP172" s="51"/>
      <c r="AQ172" s="51"/>
      <c r="AR172" s="51"/>
      <c r="AS172" s="51"/>
      <c r="AT172" s="51"/>
      <c r="AU172" s="52">
        <f t="shared" ref="AU172:AU176" si="588">SUM(AP172:AT172)</f>
        <v>0</v>
      </c>
      <c r="AV172" s="51"/>
      <c r="AW172" s="51"/>
      <c r="AX172" s="51"/>
      <c r="AY172" s="51"/>
      <c r="AZ172" s="51"/>
      <c r="BA172" s="52">
        <f t="shared" ref="BA172:BA176" si="589">SUM(AV172:AZ172)</f>
        <v>0</v>
      </c>
      <c r="BB172" s="51"/>
      <c r="BC172" s="51"/>
      <c r="BD172" s="51"/>
      <c r="BE172" s="51"/>
      <c r="BF172" s="51"/>
      <c r="BG172" s="52">
        <f t="shared" ref="BG172:BG176" si="590">SUM(BB172:BF172)</f>
        <v>0</v>
      </c>
      <c r="BH172" s="51"/>
      <c r="BI172" s="51"/>
      <c r="BJ172" s="51"/>
      <c r="BK172" s="51"/>
      <c r="BL172" s="51"/>
      <c r="BM172" s="52">
        <f t="shared" ref="BM172:BM176" si="591">SUM(BH172:BL172)</f>
        <v>0</v>
      </c>
      <c r="BN172" s="51"/>
      <c r="BO172" s="51"/>
      <c r="BP172" s="51"/>
      <c r="BQ172" s="51"/>
      <c r="BR172" s="51"/>
      <c r="BS172" s="52">
        <f t="shared" ref="BS172:BS176" si="592">SUM(BN172:BR172)</f>
        <v>0</v>
      </c>
      <c r="BT172" s="51"/>
      <c r="BU172" s="51"/>
      <c r="BV172" s="51"/>
      <c r="BW172" s="51"/>
      <c r="BX172" s="51"/>
      <c r="BY172" s="52">
        <f t="shared" ref="BY172:BY176" si="593">SUM(BT172:BX172)</f>
        <v>0</v>
      </c>
      <c r="BZ172" s="51"/>
      <c r="CA172" s="51"/>
      <c r="CB172" s="51"/>
      <c r="CC172" s="51"/>
      <c r="CD172" s="51"/>
      <c r="CE172" s="52">
        <f t="shared" ref="CE172:CE176" si="594">SUM(BZ172:CD172)</f>
        <v>0</v>
      </c>
      <c r="CF172" s="51"/>
      <c r="CG172" s="51"/>
      <c r="CH172" s="51"/>
      <c r="CI172" s="51"/>
      <c r="CJ172" s="51"/>
      <c r="CK172" s="52">
        <f t="shared" ref="CK172:CK176" si="595">SUM(CF172:CJ172)</f>
        <v>0</v>
      </c>
      <c r="CL172" s="35">
        <f t="shared" si="567"/>
        <v>0</v>
      </c>
      <c r="CM172" s="35">
        <f t="shared" si="567"/>
        <v>0</v>
      </c>
      <c r="CN172" s="35">
        <f t="shared" si="567"/>
        <v>0</v>
      </c>
      <c r="CO172" s="35">
        <f t="shared" si="567"/>
        <v>0</v>
      </c>
      <c r="CP172" s="35">
        <f t="shared" si="567"/>
        <v>0</v>
      </c>
      <c r="CQ172" s="35">
        <f t="shared" si="567"/>
        <v>0</v>
      </c>
      <c r="CR172" s="37">
        <f t="shared" si="568"/>
        <v>0</v>
      </c>
      <c r="CS172" s="39">
        <f t="shared" si="569"/>
        <v>0</v>
      </c>
      <c r="CT172" s="53">
        <f t="shared" si="570"/>
        <v>0</v>
      </c>
      <c r="CU172" s="39">
        <f t="shared" si="571"/>
        <v>0</v>
      </c>
      <c r="CV172" s="39">
        <f t="shared" si="572"/>
        <v>0</v>
      </c>
      <c r="CW172" s="39">
        <f t="shared" si="573"/>
        <v>0</v>
      </c>
      <c r="CX172" s="39">
        <f t="shared" si="574"/>
        <v>0</v>
      </c>
      <c r="CY172" s="39">
        <f t="shared" si="575"/>
        <v>0</v>
      </c>
      <c r="CZ172" s="39">
        <f t="shared" si="576"/>
        <v>0</v>
      </c>
      <c r="DA172" s="39">
        <f t="shared" si="577"/>
        <v>0</v>
      </c>
      <c r="DB172" s="39">
        <f t="shared" si="578"/>
        <v>0</v>
      </c>
      <c r="DC172" s="39">
        <f t="shared" si="579"/>
        <v>0</v>
      </c>
      <c r="DD172" s="39">
        <f>+HLOOKUP('Reporte Evolución Mensual'!$F$2-2,$CR$2:$DC$251, Input!$DG172, FALSE)</f>
        <v>0</v>
      </c>
      <c r="DE172" s="39">
        <f>+HLOOKUP('Reporte Evolución Mensual'!$F$2-1,$CR$2:$DC$251, Input!$DG172, FALSE)</f>
        <v>0</v>
      </c>
      <c r="DF172" s="39">
        <f>+HLOOKUP('Reporte Evolución Mensual'!$F$2,$CR$2:$DC$251, Input!$DG172, FALSE)</f>
        <v>0</v>
      </c>
      <c r="DG172" s="40">
        <f t="shared" si="479"/>
        <v>172</v>
      </c>
      <c r="DH172" s="39"/>
      <c r="DI172" s="39"/>
      <c r="DJ172" s="39"/>
      <c r="DK172" s="39"/>
      <c r="DL172" s="39"/>
      <c r="DM172" s="39"/>
      <c r="DN172" s="39"/>
      <c r="DO172" s="58"/>
      <c r="DP172" s="58"/>
      <c r="DQ172" s="58"/>
      <c r="DR172" s="58"/>
      <c r="DS172" s="1"/>
      <c r="DT172" s="1"/>
      <c r="DU172" s="1"/>
      <c r="DV172" s="345"/>
    </row>
    <row r="173" spans="1:126" ht="15" customHeight="1" x14ac:dyDescent="0.3">
      <c r="A173" s="1" t="str">
        <f t="shared" si="419"/>
        <v>ADIFSE</v>
      </c>
      <c r="B173" s="1" t="str">
        <f t="shared" si="420"/>
        <v>ADIFSE</v>
      </c>
      <c r="C173" s="1" t="str">
        <f t="shared" si="421"/>
        <v>MAY</v>
      </c>
      <c r="D173" s="16" t="s">
        <v>163</v>
      </c>
      <c r="E173" s="123" t="str">
        <f t="shared" si="582"/>
        <v>Transferencias a Empresas y Otros Entes - ADIF</v>
      </c>
      <c r="F173" s="120" t="s">
        <v>212</v>
      </c>
      <c r="G173" s="16" t="s">
        <v>189</v>
      </c>
      <c r="H173" s="7" t="s">
        <v>210</v>
      </c>
      <c r="I173" s="7" t="s">
        <v>213</v>
      </c>
      <c r="J173" s="32" t="s">
        <v>289</v>
      </c>
      <c r="K173" s="38"/>
      <c r="L173" s="51"/>
      <c r="M173" s="51"/>
      <c r="N173" s="51"/>
      <c r="O173" s="51"/>
      <c r="P173" s="51"/>
      <c r="Q173" s="35">
        <f t="shared" si="583"/>
        <v>0</v>
      </c>
      <c r="R173" s="51"/>
      <c r="S173" s="51"/>
      <c r="T173" s="51"/>
      <c r="U173" s="51"/>
      <c r="V173" s="51"/>
      <c r="W173" s="52">
        <f t="shared" si="584"/>
        <v>0</v>
      </c>
      <c r="X173" s="51"/>
      <c r="Y173" s="51"/>
      <c r="Z173" s="51"/>
      <c r="AA173" s="51"/>
      <c r="AB173" s="51"/>
      <c r="AC173" s="52">
        <f t="shared" si="585"/>
        <v>0</v>
      </c>
      <c r="AD173" s="51"/>
      <c r="AE173" s="51"/>
      <c r="AF173" s="51"/>
      <c r="AG173" s="51"/>
      <c r="AH173" s="51"/>
      <c r="AI173" s="52">
        <f t="shared" si="586"/>
        <v>0</v>
      </c>
      <c r="AJ173" s="51"/>
      <c r="AK173" s="51"/>
      <c r="AL173" s="51"/>
      <c r="AM173" s="51"/>
      <c r="AN173" s="51"/>
      <c r="AO173" s="52">
        <f t="shared" si="587"/>
        <v>0</v>
      </c>
      <c r="AP173" s="51"/>
      <c r="AQ173" s="51"/>
      <c r="AR173" s="51"/>
      <c r="AS173" s="51"/>
      <c r="AT173" s="51"/>
      <c r="AU173" s="52">
        <f t="shared" si="588"/>
        <v>0</v>
      </c>
      <c r="AV173" s="51"/>
      <c r="AW173" s="51"/>
      <c r="AX173" s="51"/>
      <c r="AY173" s="51"/>
      <c r="AZ173" s="51"/>
      <c r="BA173" s="52">
        <f t="shared" si="589"/>
        <v>0</v>
      </c>
      <c r="BB173" s="51"/>
      <c r="BC173" s="51"/>
      <c r="BD173" s="51"/>
      <c r="BE173" s="51"/>
      <c r="BF173" s="51"/>
      <c r="BG173" s="52">
        <f t="shared" si="590"/>
        <v>0</v>
      </c>
      <c r="BH173" s="51"/>
      <c r="BI173" s="51"/>
      <c r="BJ173" s="51"/>
      <c r="BK173" s="51"/>
      <c r="BL173" s="51"/>
      <c r="BM173" s="52">
        <f t="shared" si="591"/>
        <v>0</v>
      </c>
      <c r="BN173" s="51"/>
      <c r="BO173" s="51"/>
      <c r="BP173" s="51"/>
      <c r="BQ173" s="51"/>
      <c r="BR173" s="51"/>
      <c r="BS173" s="52">
        <f t="shared" si="592"/>
        <v>0</v>
      </c>
      <c r="BT173" s="51"/>
      <c r="BU173" s="51"/>
      <c r="BV173" s="51"/>
      <c r="BW173" s="51"/>
      <c r="BX173" s="51"/>
      <c r="BY173" s="52">
        <f t="shared" si="593"/>
        <v>0</v>
      </c>
      <c r="BZ173" s="51"/>
      <c r="CA173" s="51"/>
      <c r="CB173" s="51"/>
      <c r="CC173" s="51"/>
      <c r="CD173" s="51"/>
      <c r="CE173" s="52">
        <f t="shared" si="594"/>
        <v>0</v>
      </c>
      <c r="CF173" s="51"/>
      <c r="CG173" s="51"/>
      <c r="CH173" s="51"/>
      <c r="CI173" s="51"/>
      <c r="CJ173" s="51"/>
      <c r="CK173" s="52">
        <f t="shared" si="595"/>
        <v>0</v>
      </c>
      <c r="CL173" s="35">
        <f t="shared" si="567"/>
        <v>0</v>
      </c>
      <c r="CM173" s="35">
        <f t="shared" si="567"/>
        <v>0</v>
      </c>
      <c r="CN173" s="35">
        <f t="shared" si="567"/>
        <v>0</v>
      </c>
      <c r="CO173" s="35">
        <f t="shared" si="567"/>
        <v>0</v>
      </c>
      <c r="CP173" s="35">
        <f t="shared" si="567"/>
        <v>0</v>
      </c>
      <c r="CQ173" s="35">
        <f t="shared" si="567"/>
        <v>0</v>
      </c>
      <c r="CR173" s="37">
        <f t="shared" si="568"/>
        <v>0</v>
      </c>
      <c r="CS173" s="39">
        <f t="shared" si="569"/>
        <v>0</v>
      </c>
      <c r="CT173" s="53">
        <f t="shared" si="570"/>
        <v>0</v>
      </c>
      <c r="CU173" s="39">
        <f t="shared" si="571"/>
        <v>0</v>
      </c>
      <c r="CV173" s="39">
        <f t="shared" si="572"/>
        <v>0</v>
      </c>
      <c r="CW173" s="39">
        <f t="shared" si="573"/>
        <v>0</v>
      </c>
      <c r="CX173" s="39">
        <f t="shared" si="574"/>
        <v>0</v>
      </c>
      <c r="CY173" s="39">
        <f t="shared" si="575"/>
        <v>0</v>
      </c>
      <c r="CZ173" s="39">
        <f t="shared" si="576"/>
        <v>0</v>
      </c>
      <c r="DA173" s="39">
        <f t="shared" si="577"/>
        <v>0</v>
      </c>
      <c r="DB173" s="39">
        <f t="shared" si="578"/>
        <v>0</v>
      </c>
      <c r="DC173" s="39">
        <f t="shared" si="579"/>
        <v>0</v>
      </c>
      <c r="DD173" s="39">
        <f>+HLOOKUP('Reporte Evolución Mensual'!$F$2-2,$CR$2:$DC$251, Input!$DG173, FALSE)</f>
        <v>0</v>
      </c>
      <c r="DE173" s="39">
        <f>+HLOOKUP('Reporte Evolución Mensual'!$F$2-1,$CR$2:$DC$251, Input!$DG173, FALSE)</f>
        <v>0</v>
      </c>
      <c r="DF173" s="39">
        <f>+HLOOKUP('Reporte Evolución Mensual'!$F$2,$CR$2:$DC$251, Input!$DG173, FALSE)</f>
        <v>0</v>
      </c>
      <c r="DG173" s="40">
        <f t="shared" si="479"/>
        <v>173</v>
      </c>
      <c r="DH173" s="39"/>
      <c r="DI173" s="39"/>
      <c r="DJ173" s="39"/>
      <c r="DK173" s="39"/>
      <c r="DL173" s="39"/>
      <c r="DM173" s="39"/>
      <c r="DN173" s="39"/>
      <c r="DO173" s="58"/>
      <c r="DP173" s="58"/>
      <c r="DQ173" s="58"/>
      <c r="DR173" s="58"/>
      <c r="DS173" s="1"/>
      <c r="DT173" s="1"/>
      <c r="DU173" s="1"/>
      <c r="DV173" s="345" t="s">
        <v>163</v>
      </c>
    </row>
    <row r="174" spans="1:126" ht="15" customHeight="1" x14ac:dyDescent="0.3">
      <c r="A174" s="1" t="str">
        <f t="shared" si="419"/>
        <v>ADIFSE</v>
      </c>
      <c r="B174" s="1" t="str">
        <f t="shared" si="420"/>
        <v>ADIFSE</v>
      </c>
      <c r="C174" s="1" t="str">
        <f t="shared" si="421"/>
        <v>MAY</v>
      </c>
      <c r="D174" s="16" t="s">
        <v>163</v>
      </c>
      <c r="E174" s="123" t="str">
        <f t="shared" si="582"/>
        <v>Transferencias a Empresas y Otros Entes - SOFSE</v>
      </c>
      <c r="F174" s="120" t="s">
        <v>214</v>
      </c>
      <c r="G174" s="16" t="s">
        <v>189</v>
      </c>
      <c r="H174" s="7" t="s">
        <v>210</v>
      </c>
      <c r="I174" s="7" t="s">
        <v>215</v>
      </c>
      <c r="J174" s="32" t="s">
        <v>289</v>
      </c>
      <c r="K174" s="38"/>
      <c r="L174" s="51"/>
      <c r="M174" s="51"/>
      <c r="N174" s="51"/>
      <c r="O174" s="51"/>
      <c r="P174" s="51"/>
      <c r="Q174" s="35">
        <f t="shared" si="583"/>
        <v>0</v>
      </c>
      <c r="R174" s="51"/>
      <c r="S174" s="51"/>
      <c r="T174" s="51"/>
      <c r="U174" s="51"/>
      <c r="V174" s="51"/>
      <c r="W174" s="52">
        <f t="shared" si="584"/>
        <v>0</v>
      </c>
      <c r="X174" s="51"/>
      <c r="Y174" s="51"/>
      <c r="Z174" s="51"/>
      <c r="AA174" s="51"/>
      <c r="AB174" s="51"/>
      <c r="AC174" s="52">
        <f t="shared" si="585"/>
        <v>0</v>
      </c>
      <c r="AD174" s="51"/>
      <c r="AE174" s="51"/>
      <c r="AF174" s="51"/>
      <c r="AG174" s="51"/>
      <c r="AH174" s="51"/>
      <c r="AI174" s="52">
        <f t="shared" si="586"/>
        <v>0</v>
      </c>
      <c r="AJ174" s="51"/>
      <c r="AK174" s="51"/>
      <c r="AL174" s="51"/>
      <c r="AM174" s="51"/>
      <c r="AN174" s="51"/>
      <c r="AO174" s="52">
        <f t="shared" si="587"/>
        <v>0</v>
      </c>
      <c r="AP174" s="51"/>
      <c r="AQ174" s="51"/>
      <c r="AR174" s="51"/>
      <c r="AS174" s="51"/>
      <c r="AT174" s="51"/>
      <c r="AU174" s="52">
        <f t="shared" si="588"/>
        <v>0</v>
      </c>
      <c r="AV174" s="51"/>
      <c r="AW174" s="51"/>
      <c r="AX174" s="51"/>
      <c r="AY174" s="51"/>
      <c r="AZ174" s="51"/>
      <c r="BA174" s="52">
        <f t="shared" si="589"/>
        <v>0</v>
      </c>
      <c r="BB174" s="51"/>
      <c r="BC174" s="51"/>
      <c r="BD174" s="51"/>
      <c r="BE174" s="51"/>
      <c r="BF174" s="51"/>
      <c r="BG174" s="52">
        <f t="shared" si="590"/>
        <v>0</v>
      </c>
      <c r="BH174" s="51"/>
      <c r="BI174" s="51"/>
      <c r="BJ174" s="51"/>
      <c r="BK174" s="51"/>
      <c r="BL174" s="51"/>
      <c r="BM174" s="52">
        <f t="shared" si="591"/>
        <v>0</v>
      </c>
      <c r="BN174" s="51"/>
      <c r="BO174" s="51"/>
      <c r="BP174" s="51"/>
      <c r="BQ174" s="51"/>
      <c r="BR174" s="51"/>
      <c r="BS174" s="52">
        <f t="shared" si="592"/>
        <v>0</v>
      </c>
      <c r="BT174" s="51"/>
      <c r="BU174" s="51"/>
      <c r="BV174" s="51"/>
      <c r="BW174" s="51"/>
      <c r="BX174" s="51"/>
      <c r="BY174" s="52">
        <f t="shared" si="593"/>
        <v>0</v>
      </c>
      <c r="BZ174" s="51"/>
      <c r="CA174" s="51"/>
      <c r="CB174" s="51"/>
      <c r="CC174" s="51"/>
      <c r="CD174" s="51"/>
      <c r="CE174" s="52">
        <f t="shared" si="594"/>
        <v>0</v>
      </c>
      <c r="CF174" s="51"/>
      <c r="CG174" s="51"/>
      <c r="CH174" s="51"/>
      <c r="CI174" s="51"/>
      <c r="CJ174" s="51"/>
      <c r="CK174" s="52">
        <f t="shared" si="595"/>
        <v>0</v>
      </c>
      <c r="CL174" s="35">
        <f t="shared" si="567"/>
        <v>0</v>
      </c>
      <c r="CM174" s="35">
        <f t="shared" si="567"/>
        <v>0</v>
      </c>
      <c r="CN174" s="35">
        <f t="shared" si="567"/>
        <v>0</v>
      </c>
      <c r="CO174" s="35">
        <f t="shared" si="567"/>
        <v>0</v>
      </c>
      <c r="CP174" s="35">
        <f t="shared" si="567"/>
        <v>0</v>
      </c>
      <c r="CQ174" s="35">
        <f t="shared" si="567"/>
        <v>0</v>
      </c>
      <c r="CR174" s="37">
        <f t="shared" si="568"/>
        <v>0</v>
      </c>
      <c r="CS174" s="39">
        <f t="shared" si="569"/>
        <v>0</v>
      </c>
      <c r="CT174" s="53">
        <f t="shared" si="570"/>
        <v>0</v>
      </c>
      <c r="CU174" s="39">
        <f t="shared" si="571"/>
        <v>0</v>
      </c>
      <c r="CV174" s="39">
        <f t="shared" si="572"/>
        <v>0</v>
      </c>
      <c r="CW174" s="39">
        <f t="shared" si="573"/>
        <v>0</v>
      </c>
      <c r="CX174" s="39">
        <f t="shared" si="574"/>
        <v>0</v>
      </c>
      <c r="CY174" s="39">
        <f t="shared" si="575"/>
        <v>0</v>
      </c>
      <c r="CZ174" s="39">
        <f t="shared" si="576"/>
        <v>0</v>
      </c>
      <c r="DA174" s="39">
        <f t="shared" si="577"/>
        <v>0</v>
      </c>
      <c r="DB174" s="39">
        <f t="shared" si="578"/>
        <v>0</v>
      </c>
      <c r="DC174" s="39">
        <f t="shared" si="579"/>
        <v>0</v>
      </c>
      <c r="DD174" s="39">
        <f>+HLOOKUP('Reporte Evolución Mensual'!$F$2-2,$CR$2:$DC$251, Input!$DG174, FALSE)</f>
        <v>0</v>
      </c>
      <c r="DE174" s="39">
        <f>+HLOOKUP('Reporte Evolución Mensual'!$F$2-1,$CR$2:$DC$251, Input!$DG174, FALSE)</f>
        <v>0</v>
      </c>
      <c r="DF174" s="39">
        <f>+HLOOKUP('Reporte Evolución Mensual'!$F$2,$CR$2:$DC$251, Input!$DG174, FALSE)</f>
        <v>0</v>
      </c>
      <c r="DG174" s="40">
        <f t="shared" si="479"/>
        <v>174</v>
      </c>
      <c r="DH174" s="39"/>
      <c r="DI174" s="39"/>
      <c r="DJ174" s="39"/>
      <c r="DK174" s="39"/>
      <c r="DL174" s="39"/>
      <c r="DM174" s="39"/>
      <c r="DN174" s="39"/>
      <c r="DO174" s="58"/>
      <c r="DP174" s="58"/>
      <c r="DQ174" s="58"/>
      <c r="DR174" s="58"/>
      <c r="DS174" s="1"/>
      <c r="DT174" s="1"/>
      <c r="DU174" s="1"/>
      <c r="DV174" s="345" t="s">
        <v>163</v>
      </c>
    </row>
    <row r="175" spans="1:126" ht="15" customHeight="1" x14ac:dyDescent="0.3">
      <c r="A175" s="1" t="str">
        <f t="shared" si="419"/>
        <v>ADIFSE</v>
      </c>
      <c r="B175" s="1" t="str">
        <f t="shared" si="420"/>
        <v>ADIFSE</v>
      </c>
      <c r="C175" s="1" t="str">
        <f t="shared" si="421"/>
        <v>MAY</v>
      </c>
      <c r="D175" s="16" t="s">
        <v>163</v>
      </c>
      <c r="E175" s="123" t="str">
        <f t="shared" si="582"/>
        <v>Transferencias a Empresas y Otros Entes - Fondo Fiduciario de Infraestructura de Transporte</v>
      </c>
      <c r="F175" s="120" t="s">
        <v>216</v>
      </c>
      <c r="G175" s="16" t="s">
        <v>189</v>
      </c>
      <c r="H175" s="7" t="s">
        <v>210</v>
      </c>
      <c r="I175" s="7" t="s">
        <v>217</v>
      </c>
      <c r="J175" s="32" t="s">
        <v>289</v>
      </c>
      <c r="K175" s="38"/>
      <c r="L175" s="51"/>
      <c r="M175" s="51"/>
      <c r="N175" s="51"/>
      <c r="O175" s="51"/>
      <c r="P175" s="51"/>
      <c r="Q175" s="35">
        <f t="shared" si="583"/>
        <v>0</v>
      </c>
      <c r="R175" s="51"/>
      <c r="S175" s="51"/>
      <c r="T175" s="51"/>
      <c r="U175" s="51"/>
      <c r="V175" s="51"/>
      <c r="W175" s="52">
        <f t="shared" si="584"/>
        <v>0</v>
      </c>
      <c r="X175" s="51"/>
      <c r="Y175" s="51"/>
      <c r="Z175" s="51"/>
      <c r="AA175" s="51"/>
      <c r="AB175" s="51"/>
      <c r="AC175" s="52">
        <f t="shared" si="585"/>
        <v>0</v>
      </c>
      <c r="AD175" s="51"/>
      <c r="AE175" s="51"/>
      <c r="AF175" s="51"/>
      <c r="AG175" s="51"/>
      <c r="AH175" s="51"/>
      <c r="AI175" s="52">
        <f t="shared" si="586"/>
        <v>0</v>
      </c>
      <c r="AJ175" s="51"/>
      <c r="AK175" s="51"/>
      <c r="AL175" s="51"/>
      <c r="AM175" s="51"/>
      <c r="AN175" s="51"/>
      <c r="AO175" s="52">
        <f t="shared" si="587"/>
        <v>0</v>
      </c>
      <c r="AP175" s="51"/>
      <c r="AQ175" s="51"/>
      <c r="AR175" s="51"/>
      <c r="AS175" s="51"/>
      <c r="AT175" s="51"/>
      <c r="AU175" s="52">
        <f t="shared" si="588"/>
        <v>0</v>
      </c>
      <c r="AV175" s="51"/>
      <c r="AW175" s="51"/>
      <c r="AX175" s="51"/>
      <c r="AY175" s="51"/>
      <c r="AZ175" s="51"/>
      <c r="BA175" s="52">
        <f t="shared" si="589"/>
        <v>0</v>
      </c>
      <c r="BB175" s="51"/>
      <c r="BC175" s="51"/>
      <c r="BD175" s="51"/>
      <c r="BE175" s="51"/>
      <c r="BF175" s="51"/>
      <c r="BG175" s="52">
        <f t="shared" si="590"/>
        <v>0</v>
      </c>
      <c r="BH175" s="51"/>
      <c r="BI175" s="51"/>
      <c r="BJ175" s="51"/>
      <c r="BK175" s="51"/>
      <c r="BL175" s="51"/>
      <c r="BM175" s="52">
        <f t="shared" si="591"/>
        <v>0</v>
      </c>
      <c r="BN175" s="51"/>
      <c r="BO175" s="51"/>
      <c r="BP175" s="51"/>
      <c r="BQ175" s="51"/>
      <c r="BR175" s="51"/>
      <c r="BS175" s="52">
        <f t="shared" si="592"/>
        <v>0</v>
      </c>
      <c r="BT175" s="51"/>
      <c r="BU175" s="51"/>
      <c r="BV175" s="51"/>
      <c r="BW175" s="51"/>
      <c r="BX175" s="51"/>
      <c r="BY175" s="52">
        <f t="shared" si="593"/>
        <v>0</v>
      </c>
      <c r="BZ175" s="51"/>
      <c r="CA175" s="51"/>
      <c r="CB175" s="51"/>
      <c r="CC175" s="51"/>
      <c r="CD175" s="51"/>
      <c r="CE175" s="52">
        <f t="shared" si="594"/>
        <v>0</v>
      </c>
      <c r="CF175" s="51"/>
      <c r="CG175" s="51"/>
      <c r="CH175" s="51"/>
      <c r="CI175" s="51"/>
      <c r="CJ175" s="51"/>
      <c r="CK175" s="52">
        <f t="shared" si="595"/>
        <v>0</v>
      </c>
      <c r="CL175" s="35">
        <f t="shared" si="567"/>
        <v>0</v>
      </c>
      <c r="CM175" s="35">
        <f t="shared" si="567"/>
        <v>0</v>
      </c>
      <c r="CN175" s="35">
        <f t="shared" si="567"/>
        <v>0</v>
      </c>
      <c r="CO175" s="35">
        <f t="shared" si="567"/>
        <v>0</v>
      </c>
      <c r="CP175" s="35">
        <f t="shared" si="567"/>
        <v>0</v>
      </c>
      <c r="CQ175" s="35">
        <f t="shared" si="567"/>
        <v>0</v>
      </c>
      <c r="CR175" s="37">
        <f t="shared" si="568"/>
        <v>0</v>
      </c>
      <c r="CS175" s="39">
        <f t="shared" si="569"/>
        <v>0</v>
      </c>
      <c r="CT175" s="53">
        <f t="shared" si="570"/>
        <v>0</v>
      </c>
      <c r="CU175" s="39">
        <f t="shared" si="571"/>
        <v>0</v>
      </c>
      <c r="CV175" s="39">
        <f t="shared" si="572"/>
        <v>0</v>
      </c>
      <c r="CW175" s="39">
        <f t="shared" si="573"/>
        <v>0</v>
      </c>
      <c r="CX175" s="39">
        <f t="shared" si="574"/>
        <v>0</v>
      </c>
      <c r="CY175" s="39">
        <f t="shared" si="575"/>
        <v>0</v>
      </c>
      <c r="CZ175" s="39">
        <f t="shared" si="576"/>
        <v>0</v>
      </c>
      <c r="DA175" s="39">
        <f t="shared" si="577"/>
        <v>0</v>
      </c>
      <c r="DB175" s="39">
        <f t="shared" si="578"/>
        <v>0</v>
      </c>
      <c r="DC175" s="39">
        <f t="shared" si="579"/>
        <v>0</v>
      </c>
      <c r="DD175" s="39">
        <f>+HLOOKUP('Reporte Evolución Mensual'!$F$2-2,$CR$2:$DC$251, Input!$DG175, FALSE)</f>
        <v>0</v>
      </c>
      <c r="DE175" s="39">
        <f>+HLOOKUP('Reporte Evolución Mensual'!$F$2-1,$CR$2:$DC$251, Input!$DG175, FALSE)</f>
        <v>0</v>
      </c>
      <c r="DF175" s="39">
        <f>+HLOOKUP('Reporte Evolución Mensual'!$F$2,$CR$2:$DC$251, Input!$DG175, FALSE)</f>
        <v>0</v>
      </c>
      <c r="DG175" s="40">
        <f t="shared" si="479"/>
        <v>175</v>
      </c>
      <c r="DH175" s="39"/>
      <c r="DI175" s="39"/>
      <c r="DJ175" s="39"/>
      <c r="DK175" s="39"/>
      <c r="DL175" s="39"/>
      <c r="DM175" s="39"/>
      <c r="DN175" s="39"/>
      <c r="DO175" s="58"/>
      <c r="DP175" s="58"/>
      <c r="DQ175" s="58"/>
      <c r="DR175" s="58"/>
      <c r="DS175" s="1"/>
      <c r="DT175" s="1"/>
      <c r="DU175" s="1"/>
      <c r="DV175" s="345" t="s">
        <v>163</v>
      </c>
    </row>
    <row r="176" spans="1:126" ht="15" customHeight="1" x14ac:dyDescent="0.3">
      <c r="A176" s="1" t="str">
        <f t="shared" si="419"/>
        <v>ADIFSE</v>
      </c>
      <c r="B176" s="1" t="str">
        <f t="shared" si="420"/>
        <v>ADIFSE</v>
      </c>
      <c r="C176" s="1" t="str">
        <f t="shared" si="421"/>
        <v>MAY</v>
      </c>
      <c r="D176" s="16" t="s">
        <v>163</v>
      </c>
      <c r="E176" s="123" t="str">
        <f t="shared" si="582"/>
        <v>Transferencias a Empresas y Otros Entes - Resto</v>
      </c>
      <c r="F176" s="120" t="s">
        <v>218</v>
      </c>
      <c r="G176" s="16" t="s">
        <v>189</v>
      </c>
      <c r="H176" s="7" t="s">
        <v>210</v>
      </c>
      <c r="I176" s="7" t="s">
        <v>208</v>
      </c>
      <c r="J176" s="32" t="s">
        <v>289</v>
      </c>
      <c r="K176" s="38"/>
      <c r="L176" s="51"/>
      <c r="M176" s="51"/>
      <c r="N176" s="51"/>
      <c r="O176" s="51"/>
      <c r="P176" s="51"/>
      <c r="Q176" s="35">
        <f t="shared" si="583"/>
        <v>0</v>
      </c>
      <c r="R176" s="51"/>
      <c r="S176" s="51"/>
      <c r="T176" s="51"/>
      <c r="U176" s="51"/>
      <c r="V176" s="51"/>
      <c r="W176" s="52">
        <f t="shared" si="584"/>
        <v>0</v>
      </c>
      <c r="X176" s="51"/>
      <c r="Y176" s="51"/>
      <c r="Z176" s="51"/>
      <c r="AA176" s="51"/>
      <c r="AB176" s="51"/>
      <c r="AC176" s="52">
        <f t="shared" si="585"/>
        <v>0</v>
      </c>
      <c r="AD176" s="51"/>
      <c r="AE176" s="51"/>
      <c r="AF176" s="51"/>
      <c r="AG176" s="51"/>
      <c r="AH176" s="51"/>
      <c r="AI176" s="52">
        <f t="shared" si="586"/>
        <v>0</v>
      </c>
      <c r="AJ176" s="51"/>
      <c r="AK176" s="51"/>
      <c r="AL176" s="51"/>
      <c r="AM176" s="51"/>
      <c r="AN176" s="51"/>
      <c r="AO176" s="52">
        <f t="shared" si="587"/>
        <v>0</v>
      </c>
      <c r="AP176" s="51"/>
      <c r="AQ176" s="51"/>
      <c r="AR176" s="51"/>
      <c r="AS176" s="51"/>
      <c r="AT176" s="51"/>
      <c r="AU176" s="52">
        <f t="shared" si="588"/>
        <v>0</v>
      </c>
      <c r="AV176" s="51"/>
      <c r="AW176" s="51"/>
      <c r="AX176" s="51"/>
      <c r="AY176" s="51"/>
      <c r="AZ176" s="51"/>
      <c r="BA176" s="52">
        <f t="shared" si="589"/>
        <v>0</v>
      </c>
      <c r="BB176" s="51"/>
      <c r="BC176" s="51"/>
      <c r="BD176" s="51"/>
      <c r="BE176" s="51"/>
      <c r="BF176" s="51"/>
      <c r="BG176" s="52">
        <f t="shared" si="590"/>
        <v>0</v>
      </c>
      <c r="BH176" s="51"/>
      <c r="BI176" s="51"/>
      <c r="BJ176" s="51"/>
      <c r="BK176" s="51"/>
      <c r="BL176" s="51"/>
      <c r="BM176" s="52">
        <f t="shared" si="591"/>
        <v>0</v>
      </c>
      <c r="BN176" s="51"/>
      <c r="BO176" s="51"/>
      <c r="BP176" s="51"/>
      <c r="BQ176" s="51"/>
      <c r="BR176" s="51"/>
      <c r="BS176" s="52">
        <f t="shared" si="592"/>
        <v>0</v>
      </c>
      <c r="BT176" s="51"/>
      <c r="BU176" s="51"/>
      <c r="BV176" s="51"/>
      <c r="BW176" s="51"/>
      <c r="BX176" s="51"/>
      <c r="BY176" s="52">
        <f t="shared" si="593"/>
        <v>0</v>
      </c>
      <c r="BZ176" s="51"/>
      <c r="CA176" s="51"/>
      <c r="CB176" s="51"/>
      <c r="CC176" s="51"/>
      <c r="CD176" s="51"/>
      <c r="CE176" s="52">
        <f t="shared" si="594"/>
        <v>0</v>
      </c>
      <c r="CF176" s="51"/>
      <c r="CG176" s="51"/>
      <c r="CH176" s="51"/>
      <c r="CI176" s="51"/>
      <c r="CJ176" s="51"/>
      <c r="CK176" s="52">
        <f t="shared" si="595"/>
        <v>0</v>
      </c>
      <c r="CL176" s="35">
        <f t="shared" si="567"/>
        <v>0</v>
      </c>
      <c r="CM176" s="35">
        <f t="shared" si="567"/>
        <v>0</v>
      </c>
      <c r="CN176" s="35">
        <f t="shared" si="567"/>
        <v>0</v>
      </c>
      <c r="CO176" s="35">
        <f t="shared" si="567"/>
        <v>0</v>
      </c>
      <c r="CP176" s="35">
        <f t="shared" si="567"/>
        <v>0</v>
      </c>
      <c r="CQ176" s="35">
        <f t="shared" si="567"/>
        <v>0</v>
      </c>
      <c r="CR176" s="37">
        <f t="shared" si="568"/>
        <v>0</v>
      </c>
      <c r="CS176" s="39">
        <f t="shared" si="569"/>
        <v>0</v>
      </c>
      <c r="CT176" s="53">
        <f t="shared" si="570"/>
        <v>0</v>
      </c>
      <c r="CU176" s="39">
        <f t="shared" si="571"/>
        <v>0</v>
      </c>
      <c r="CV176" s="39">
        <f t="shared" si="572"/>
        <v>0</v>
      </c>
      <c r="CW176" s="39">
        <f t="shared" si="573"/>
        <v>0</v>
      </c>
      <c r="CX176" s="39">
        <f t="shared" si="574"/>
        <v>0</v>
      </c>
      <c r="CY176" s="39">
        <f t="shared" si="575"/>
        <v>0</v>
      </c>
      <c r="CZ176" s="39">
        <f t="shared" si="576"/>
        <v>0</v>
      </c>
      <c r="DA176" s="39">
        <f t="shared" si="577"/>
        <v>0</v>
      </c>
      <c r="DB176" s="39">
        <f t="shared" si="578"/>
        <v>0</v>
      </c>
      <c r="DC176" s="39">
        <f t="shared" si="579"/>
        <v>0</v>
      </c>
      <c r="DD176" s="39">
        <f>+HLOOKUP('Reporte Evolución Mensual'!$F$2-2,$CR$2:$DC$251, Input!$DG176, FALSE)</f>
        <v>0</v>
      </c>
      <c r="DE176" s="39">
        <f>+HLOOKUP('Reporte Evolución Mensual'!$F$2-1,$CR$2:$DC$251, Input!$DG176, FALSE)</f>
        <v>0</v>
      </c>
      <c r="DF176" s="39">
        <f>+HLOOKUP('Reporte Evolución Mensual'!$F$2,$CR$2:$DC$251, Input!$DG176, FALSE)</f>
        <v>0</v>
      </c>
      <c r="DG176" s="40">
        <f t="shared" si="479"/>
        <v>176</v>
      </c>
      <c r="DH176" s="39"/>
      <c r="DI176" s="39"/>
      <c r="DJ176" s="39"/>
      <c r="DK176" s="39"/>
      <c r="DL176" s="39"/>
      <c r="DM176" s="39"/>
      <c r="DN176" s="39"/>
      <c r="DO176" s="58"/>
      <c r="DP176" s="58"/>
      <c r="DQ176" s="58"/>
      <c r="DR176" s="58"/>
      <c r="DS176" s="1"/>
      <c r="DT176" s="1"/>
      <c r="DU176" s="1"/>
      <c r="DV176" s="345" t="s">
        <v>108</v>
      </c>
    </row>
    <row r="177" spans="1:126" ht="15" customHeight="1" x14ac:dyDescent="0.3">
      <c r="A177" s="1" t="str">
        <f t="shared" si="419"/>
        <v>ADIFSE</v>
      </c>
      <c r="B177" s="1" t="str">
        <f t="shared" si="420"/>
        <v>ADIFSE</v>
      </c>
      <c r="C177" s="1" t="str">
        <f t="shared" si="421"/>
        <v>MAY</v>
      </c>
      <c r="D177" s="16" t="s">
        <v>108</v>
      </c>
      <c r="E177" s="125" t="str">
        <f>CONCATENATE(H177," - ",I177)</f>
        <v>Transferencias a Empresas y Otros Entes - Empresas Públicas y Otros Entes</v>
      </c>
      <c r="F177" s="120" t="s">
        <v>219</v>
      </c>
      <c r="G177" s="16" t="s">
        <v>189</v>
      </c>
      <c r="H177" s="7" t="s">
        <v>210</v>
      </c>
      <c r="I177" s="7" t="s">
        <v>220</v>
      </c>
      <c r="J177" s="32" t="s">
        <v>289</v>
      </c>
      <c r="K177" s="37"/>
      <c r="L177" s="38">
        <f t="shared" ref="L177:BW177" si="596">SUM(L172:L176)</f>
        <v>0</v>
      </c>
      <c r="M177" s="38">
        <f t="shared" si="596"/>
        <v>0</v>
      </c>
      <c r="N177" s="38">
        <f t="shared" si="596"/>
        <v>0</v>
      </c>
      <c r="O177" s="38">
        <f t="shared" si="596"/>
        <v>0</v>
      </c>
      <c r="P177" s="38">
        <f t="shared" si="596"/>
        <v>0</v>
      </c>
      <c r="Q177" s="35">
        <f t="shared" si="596"/>
        <v>0</v>
      </c>
      <c r="R177" s="38">
        <f t="shared" si="596"/>
        <v>0</v>
      </c>
      <c r="S177" s="38">
        <f t="shared" si="596"/>
        <v>0</v>
      </c>
      <c r="T177" s="38">
        <f t="shared" si="596"/>
        <v>0</v>
      </c>
      <c r="U177" s="38">
        <f t="shared" si="596"/>
        <v>0</v>
      </c>
      <c r="V177" s="38">
        <f t="shared" si="596"/>
        <v>0</v>
      </c>
      <c r="W177" s="36">
        <f t="shared" si="596"/>
        <v>0</v>
      </c>
      <c r="X177" s="38">
        <f t="shared" si="596"/>
        <v>0</v>
      </c>
      <c r="Y177" s="38">
        <f t="shared" si="596"/>
        <v>0</v>
      </c>
      <c r="Z177" s="38">
        <f t="shared" si="596"/>
        <v>0</v>
      </c>
      <c r="AA177" s="38">
        <f t="shared" si="596"/>
        <v>0</v>
      </c>
      <c r="AB177" s="38">
        <f t="shared" si="596"/>
        <v>0</v>
      </c>
      <c r="AC177" s="36">
        <f t="shared" si="596"/>
        <v>0</v>
      </c>
      <c r="AD177" s="38">
        <f t="shared" si="596"/>
        <v>0</v>
      </c>
      <c r="AE177" s="38">
        <f t="shared" si="596"/>
        <v>0</v>
      </c>
      <c r="AF177" s="38">
        <f t="shared" si="596"/>
        <v>0</v>
      </c>
      <c r="AG177" s="38">
        <f t="shared" si="596"/>
        <v>0</v>
      </c>
      <c r="AH177" s="38">
        <f t="shared" si="596"/>
        <v>0</v>
      </c>
      <c r="AI177" s="36">
        <f t="shared" si="596"/>
        <v>0</v>
      </c>
      <c r="AJ177" s="38">
        <f t="shared" si="596"/>
        <v>0</v>
      </c>
      <c r="AK177" s="38">
        <f t="shared" si="596"/>
        <v>0</v>
      </c>
      <c r="AL177" s="38">
        <f t="shared" si="596"/>
        <v>0</v>
      </c>
      <c r="AM177" s="38">
        <f t="shared" si="596"/>
        <v>0</v>
      </c>
      <c r="AN177" s="38">
        <f t="shared" si="596"/>
        <v>0</v>
      </c>
      <c r="AO177" s="36">
        <f t="shared" si="596"/>
        <v>0</v>
      </c>
      <c r="AP177" s="38">
        <f t="shared" si="596"/>
        <v>0</v>
      </c>
      <c r="AQ177" s="38">
        <f t="shared" si="596"/>
        <v>0</v>
      </c>
      <c r="AR177" s="38">
        <f t="shared" si="596"/>
        <v>0</v>
      </c>
      <c r="AS177" s="38">
        <f t="shared" si="596"/>
        <v>0</v>
      </c>
      <c r="AT177" s="38">
        <f t="shared" si="596"/>
        <v>0</v>
      </c>
      <c r="AU177" s="36">
        <f t="shared" si="596"/>
        <v>0</v>
      </c>
      <c r="AV177" s="38">
        <f t="shared" si="596"/>
        <v>0</v>
      </c>
      <c r="AW177" s="38">
        <f t="shared" si="596"/>
        <v>0</v>
      </c>
      <c r="AX177" s="38">
        <f t="shared" si="596"/>
        <v>0</v>
      </c>
      <c r="AY177" s="38">
        <f t="shared" si="596"/>
        <v>0</v>
      </c>
      <c r="AZ177" s="38">
        <f t="shared" si="596"/>
        <v>0</v>
      </c>
      <c r="BA177" s="36">
        <f t="shared" si="596"/>
        <v>0</v>
      </c>
      <c r="BB177" s="38">
        <f t="shared" si="596"/>
        <v>0</v>
      </c>
      <c r="BC177" s="38">
        <f t="shared" si="596"/>
        <v>0</v>
      </c>
      <c r="BD177" s="38">
        <f t="shared" si="596"/>
        <v>0</v>
      </c>
      <c r="BE177" s="38">
        <f t="shared" si="596"/>
        <v>0</v>
      </c>
      <c r="BF177" s="38">
        <f t="shared" si="596"/>
        <v>0</v>
      </c>
      <c r="BG177" s="36">
        <f t="shared" si="596"/>
        <v>0</v>
      </c>
      <c r="BH177" s="38">
        <f t="shared" si="596"/>
        <v>0</v>
      </c>
      <c r="BI177" s="38">
        <f t="shared" si="596"/>
        <v>0</v>
      </c>
      <c r="BJ177" s="38">
        <f t="shared" si="596"/>
        <v>0</v>
      </c>
      <c r="BK177" s="38">
        <f t="shared" si="596"/>
        <v>0</v>
      </c>
      <c r="BL177" s="38">
        <f t="shared" si="596"/>
        <v>0</v>
      </c>
      <c r="BM177" s="36">
        <f t="shared" si="596"/>
        <v>0</v>
      </c>
      <c r="BN177" s="38">
        <f t="shared" si="596"/>
        <v>0</v>
      </c>
      <c r="BO177" s="38">
        <f t="shared" si="596"/>
        <v>0</v>
      </c>
      <c r="BP177" s="38">
        <f t="shared" si="596"/>
        <v>0</v>
      </c>
      <c r="BQ177" s="38">
        <f t="shared" si="596"/>
        <v>0</v>
      </c>
      <c r="BR177" s="38">
        <f t="shared" si="596"/>
        <v>0</v>
      </c>
      <c r="BS177" s="36">
        <f t="shared" si="596"/>
        <v>0</v>
      </c>
      <c r="BT177" s="38">
        <f t="shared" si="596"/>
        <v>0</v>
      </c>
      <c r="BU177" s="38">
        <f t="shared" si="596"/>
        <v>0</v>
      </c>
      <c r="BV177" s="38">
        <f t="shared" si="596"/>
        <v>0</v>
      </c>
      <c r="BW177" s="38">
        <f t="shared" si="596"/>
        <v>0</v>
      </c>
      <c r="BX177" s="38">
        <f t="shared" ref="BX177:CK177" si="597">SUM(BX172:BX176)</f>
        <v>0</v>
      </c>
      <c r="BY177" s="36">
        <f t="shared" si="597"/>
        <v>0</v>
      </c>
      <c r="BZ177" s="38">
        <f t="shared" si="597"/>
        <v>0</v>
      </c>
      <c r="CA177" s="38">
        <f t="shared" si="597"/>
        <v>0</v>
      </c>
      <c r="CB177" s="38">
        <f t="shared" si="597"/>
        <v>0</v>
      </c>
      <c r="CC177" s="38">
        <f t="shared" si="597"/>
        <v>0</v>
      </c>
      <c r="CD177" s="38">
        <f t="shared" si="597"/>
        <v>0</v>
      </c>
      <c r="CE177" s="36">
        <f t="shared" si="597"/>
        <v>0</v>
      </c>
      <c r="CF177" s="38">
        <f t="shared" si="597"/>
        <v>0</v>
      </c>
      <c r="CG177" s="38">
        <f t="shared" si="597"/>
        <v>0</v>
      </c>
      <c r="CH177" s="38">
        <f t="shared" si="597"/>
        <v>0</v>
      </c>
      <c r="CI177" s="38">
        <f t="shared" si="597"/>
        <v>0</v>
      </c>
      <c r="CJ177" s="38">
        <f t="shared" si="597"/>
        <v>0</v>
      </c>
      <c r="CK177" s="71">
        <f t="shared" si="597"/>
        <v>0</v>
      </c>
      <c r="CL177" s="67">
        <f t="shared" si="567"/>
        <v>0</v>
      </c>
      <c r="CM177" s="67">
        <f t="shared" si="567"/>
        <v>0</v>
      </c>
      <c r="CN177" s="67">
        <f t="shared" si="567"/>
        <v>0</v>
      </c>
      <c r="CO177" s="67">
        <f t="shared" si="567"/>
        <v>0</v>
      </c>
      <c r="CP177" s="67">
        <f t="shared" si="567"/>
        <v>0</v>
      </c>
      <c r="CQ177" s="67">
        <f t="shared" si="567"/>
        <v>0</v>
      </c>
      <c r="CR177" s="37">
        <f t="shared" si="568"/>
        <v>0</v>
      </c>
      <c r="CS177" s="39">
        <f t="shared" si="569"/>
        <v>0</v>
      </c>
      <c r="CT177" s="53">
        <f t="shared" si="570"/>
        <v>0</v>
      </c>
      <c r="CU177" s="39">
        <f t="shared" si="571"/>
        <v>0</v>
      </c>
      <c r="CV177" s="39">
        <f t="shared" si="572"/>
        <v>0</v>
      </c>
      <c r="CW177" s="39">
        <f t="shared" si="573"/>
        <v>0</v>
      </c>
      <c r="CX177" s="39">
        <f t="shared" si="574"/>
        <v>0</v>
      </c>
      <c r="CY177" s="39">
        <f t="shared" si="575"/>
        <v>0</v>
      </c>
      <c r="CZ177" s="39">
        <f t="shared" si="576"/>
        <v>0</v>
      </c>
      <c r="DA177" s="39">
        <f t="shared" si="577"/>
        <v>0</v>
      </c>
      <c r="DB177" s="39">
        <f t="shared" si="578"/>
        <v>0</v>
      </c>
      <c r="DC177" s="39">
        <f t="shared" si="579"/>
        <v>0</v>
      </c>
      <c r="DD177" s="39">
        <f>+HLOOKUP('Reporte Evolución Mensual'!$F$2-2,$CR$2:$DC$251, Input!$DG177, FALSE)</f>
        <v>0</v>
      </c>
      <c r="DE177" s="39">
        <f>+HLOOKUP('Reporte Evolución Mensual'!$F$2-1,$CR$2:$DC$251, Input!$DG177, FALSE)</f>
        <v>0</v>
      </c>
      <c r="DF177" s="39">
        <f>+HLOOKUP('Reporte Evolución Mensual'!$F$2,$CR$2:$DC$251, Input!$DG177, FALSE)</f>
        <v>0</v>
      </c>
      <c r="DG177" s="40">
        <f t="shared" si="479"/>
        <v>177</v>
      </c>
      <c r="DH177" s="37"/>
      <c r="DI177" s="37"/>
      <c r="DJ177" s="37"/>
      <c r="DK177" s="37"/>
      <c r="DL177" s="37"/>
      <c r="DM177" s="37"/>
      <c r="DN177" s="37"/>
      <c r="DO177" s="63"/>
      <c r="DP177" s="63"/>
      <c r="DQ177" s="63"/>
      <c r="DR177" s="63"/>
      <c r="DS177" s="16"/>
      <c r="DT177" s="16"/>
      <c r="DU177" s="16"/>
      <c r="DV177" s="345" t="s">
        <v>163</v>
      </c>
    </row>
    <row r="178" spans="1:126" ht="15" customHeight="1" x14ac:dyDescent="0.3">
      <c r="A178" s="1" t="str">
        <f t="shared" si="419"/>
        <v>ADIFSE</v>
      </c>
      <c r="B178" s="1" t="str">
        <f t="shared" si="420"/>
        <v>ADIFSE</v>
      </c>
      <c r="C178" s="1" t="str">
        <f t="shared" si="421"/>
        <v>MAY</v>
      </c>
      <c r="D178" s="16" t="s">
        <v>163</v>
      </c>
      <c r="E178" s="123" t="str">
        <f t="shared" ref="E178:E179" si="598">CONCATENATE(H178," - ",I178)</f>
        <v>Transferencias - Otros</v>
      </c>
      <c r="F178" s="120" t="s">
        <v>221</v>
      </c>
      <c r="G178" s="16" t="s">
        <v>189</v>
      </c>
      <c r="H178" s="7" t="s">
        <v>222</v>
      </c>
      <c r="I178" s="7" t="s">
        <v>202</v>
      </c>
      <c r="J178" s="32" t="s">
        <v>289</v>
      </c>
      <c r="K178" s="38"/>
      <c r="L178" s="51"/>
      <c r="M178" s="51"/>
      <c r="N178" s="51"/>
      <c r="O178" s="51"/>
      <c r="P178" s="51"/>
      <c r="Q178" s="35">
        <f t="shared" ref="Q178" si="599">SUM(L178:P178)</f>
        <v>0</v>
      </c>
      <c r="R178" s="51"/>
      <c r="S178" s="51"/>
      <c r="T178" s="51"/>
      <c r="U178" s="51"/>
      <c r="V178" s="51"/>
      <c r="W178" s="52">
        <f t="shared" ref="W178" si="600">SUM(R178:V178)</f>
        <v>0</v>
      </c>
      <c r="X178" s="51"/>
      <c r="Y178" s="51"/>
      <c r="Z178" s="51"/>
      <c r="AA178" s="51"/>
      <c r="AB178" s="51"/>
      <c r="AC178" s="52">
        <f t="shared" ref="AC178" si="601">SUM(X178:AB178)</f>
        <v>0</v>
      </c>
      <c r="AD178" s="51"/>
      <c r="AE178" s="51"/>
      <c r="AF178" s="51"/>
      <c r="AG178" s="51"/>
      <c r="AH178" s="51"/>
      <c r="AI178" s="52">
        <f t="shared" ref="AI178" si="602">SUM(AD178:AH178)</f>
        <v>0</v>
      </c>
      <c r="AJ178" s="51"/>
      <c r="AK178" s="51"/>
      <c r="AL178" s="51"/>
      <c r="AM178" s="51"/>
      <c r="AN178" s="51"/>
      <c r="AO178" s="52">
        <f t="shared" ref="AO178" si="603">SUM(AJ178:AN178)</f>
        <v>0</v>
      </c>
      <c r="AP178" s="51"/>
      <c r="AQ178" s="51"/>
      <c r="AR178" s="51"/>
      <c r="AS178" s="51"/>
      <c r="AT178" s="51"/>
      <c r="AU178" s="52">
        <f t="shared" ref="AU178" si="604">SUM(AP178:AT178)</f>
        <v>0</v>
      </c>
      <c r="AV178" s="51"/>
      <c r="AW178" s="51"/>
      <c r="AX178" s="51"/>
      <c r="AY178" s="51"/>
      <c r="AZ178" s="51"/>
      <c r="BA178" s="52">
        <f t="shared" ref="BA178" si="605">SUM(AV178:AZ178)</f>
        <v>0</v>
      </c>
      <c r="BB178" s="51"/>
      <c r="BC178" s="51"/>
      <c r="BD178" s="51"/>
      <c r="BE178" s="51"/>
      <c r="BF178" s="51"/>
      <c r="BG178" s="52">
        <f t="shared" ref="BG178" si="606">SUM(BB178:BF178)</f>
        <v>0</v>
      </c>
      <c r="BH178" s="51"/>
      <c r="BI178" s="51"/>
      <c r="BJ178" s="51"/>
      <c r="BK178" s="51"/>
      <c r="BL178" s="51"/>
      <c r="BM178" s="52">
        <f t="shared" ref="BM178" si="607">SUM(BH178:BL178)</f>
        <v>0</v>
      </c>
      <c r="BN178" s="51"/>
      <c r="BO178" s="51"/>
      <c r="BP178" s="51"/>
      <c r="BQ178" s="51"/>
      <c r="BR178" s="51"/>
      <c r="BS178" s="52">
        <f t="shared" ref="BS178" si="608">SUM(BN178:BR178)</f>
        <v>0</v>
      </c>
      <c r="BT178" s="51"/>
      <c r="BU178" s="51"/>
      <c r="BV178" s="51"/>
      <c r="BW178" s="51"/>
      <c r="BX178" s="51"/>
      <c r="BY178" s="52">
        <f t="shared" ref="BY178" si="609">SUM(BT178:BX178)</f>
        <v>0</v>
      </c>
      <c r="BZ178" s="51"/>
      <c r="CA178" s="51"/>
      <c r="CB178" s="51"/>
      <c r="CC178" s="51"/>
      <c r="CD178" s="51"/>
      <c r="CE178" s="52">
        <f t="shared" ref="CE178" si="610">SUM(BZ178:CD178)</f>
        <v>0</v>
      </c>
      <c r="CF178" s="51"/>
      <c r="CG178" s="51"/>
      <c r="CH178" s="51"/>
      <c r="CI178" s="51"/>
      <c r="CJ178" s="51"/>
      <c r="CK178" s="52">
        <f t="shared" ref="CK178" si="611">SUM(CF178:CJ178)</f>
        <v>0</v>
      </c>
      <c r="CL178" s="35">
        <f t="shared" si="567"/>
        <v>0</v>
      </c>
      <c r="CM178" s="35">
        <f t="shared" si="567"/>
        <v>0</v>
      </c>
      <c r="CN178" s="35">
        <f t="shared" si="567"/>
        <v>0</v>
      </c>
      <c r="CO178" s="35">
        <f t="shared" si="567"/>
        <v>0</v>
      </c>
      <c r="CP178" s="35">
        <f t="shared" si="567"/>
        <v>0</v>
      </c>
      <c r="CQ178" s="35">
        <f t="shared" si="567"/>
        <v>0</v>
      </c>
      <c r="CR178" s="37">
        <f t="shared" si="568"/>
        <v>0</v>
      </c>
      <c r="CS178" s="39">
        <f t="shared" si="569"/>
        <v>0</v>
      </c>
      <c r="CT178" s="53">
        <f t="shared" si="570"/>
        <v>0</v>
      </c>
      <c r="CU178" s="39">
        <f t="shared" si="571"/>
        <v>0</v>
      </c>
      <c r="CV178" s="39">
        <f t="shared" si="572"/>
        <v>0</v>
      </c>
      <c r="CW178" s="39">
        <f t="shared" si="573"/>
        <v>0</v>
      </c>
      <c r="CX178" s="39">
        <f t="shared" si="574"/>
        <v>0</v>
      </c>
      <c r="CY178" s="39">
        <f t="shared" si="575"/>
        <v>0</v>
      </c>
      <c r="CZ178" s="39">
        <f t="shared" si="576"/>
        <v>0</v>
      </c>
      <c r="DA178" s="39">
        <f t="shared" si="577"/>
        <v>0</v>
      </c>
      <c r="DB178" s="39">
        <f t="shared" si="578"/>
        <v>0</v>
      </c>
      <c r="DC178" s="39">
        <f t="shared" si="579"/>
        <v>0</v>
      </c>
      <c r="DD178" s="39">
        <f>+HLOOKUP('Reporte Evolución Mensual'!$F$2-2,$CR$2:$DC$251, Input!$DG178, FALSE)</f>
        <v>0</v>
      </c>
      <c r="DE178" s="39">
        <f>+HLOOKUP('Reporte Evolución Mensual'!$F$2-1,$CR$2:$DC$251, Input!$DG178, FALSE)</f>
        <v>0</v>
      </c>
      <c r="DF178" s="39">
        <f>+HLOOKUP('Reporte Evolución Mensual'!$F$2,$CR$2:$DC$251, Input!$DG178, FALSE)</f>
        <v>0</v>
      </c>
      <c r="DG178" s="40">
        <f t="shared" si="479"/>
        <v>178</v>
      </c>
      <c r="DH178" s="39"/>
      <c r="DI178" s="39"/>
      <c r="DJ178" s="39"/>
      <c r="DK178" s="39"/>
      <c r="DL178" s="39"/>
      <c r="DM178" s="39"/>
      <c r="DN178" s="39"/>
      <c r="DO178" s="58"/>
      <c r="DP178" s="58"/>
      <c r="DQ178" s="58"/>
      <c r="DR178" s="58"/>
      <c r="DS178" s="1"/>
      <c r="DT178" s="1"/>
      <c r="DU178" s="1"/>
      <c r="DV178" s="345"/>
    </row>
    <row r="179" spans="1:126" ht="15" customHeight="1" x14ac:dyDescent="0.3">
      <c r="A179" s="1" t="str">
        <f t="shared" si="419"/>
        <v>ADIFSE</v>
      </c>
      <c r="B179" s="1" t="str">
        <f t="shared" si="420"/>
        <v>ADIFSE</v>
      </c>
      <c r="C179" s="1" t="str">
        <f t="shared" si="421"/>
        <v>MAY</v>
      </c>
      <c r="D179" s="1" t="s">
        <v>108</v>
      </c>
      <c r="E179" s="122" t="str">
        <f t="shared" si="598"/>
        <v>Transferencias - Total</v>
      </c>
      <c r="F179" s="126">
        <v>5</v>
      </c>
      <c r="G179" s="16" t="s">
        <v>189</v>
      </c>
      <c r="H179" s="7" t="s">
        <v>222</v>
      </c>
      <c r="I179" s="7" t="s">
        <v>173</v>
      </c>
      <c r="J179" s="32" t="s">
        <v>289</v>
      </c>
      <c r="K179" s="37"/>
      <c r="L179" s="39">
        <f t="shared" ref="L179:BW179" si="612">+L178+L177+L171</f>
        <v>0</v>
      </c>
      <c r="M179" s="39">
        <f t="shared" si="612"/>
        <v>0</v>
      </c>
      <c r="N179" s="39">
        <f t="shared" si="612"/>
        <v>0</v>
      </c>
      <c r="O179" s="39">
        <f t="shared" si="612"/>
        <v>0</v>
      </c>
      <c r="P179" s="39">
        <f t="shared" si="612"/>
        <v>0</v>
      </c>
      <c r="Q179" s="39">
        <f t="shared" si="612"/>
        <v>0</v>
      </c>
      <c r="R179" s="39">
        <f t="shared" si="612"/>
        <v>0</v>
      </c>
      <c r="S179" s="39">
        <f t="shared" si="612"/>
        <v>0</v>
      </c>
      <c r="T179" s="39">
        <f t="shared" si="612"/>
        <v>0</v>
      </c>
      <c r="U179" s="39">
        <f t="shared" si="612"/>
        <v>0</v>
      </c>
      <c r="V179" s="39">
        <f t="shared" si="612"/>
        <v>0</v>
      </c>
      <c r="W179" s="39">
        <f t="shared" si="612"/>
        <v>0</v>
      </c>
      <c r="X179" s="39">
        <f t="shared" si="612"/>
        <v>0</v>
      </c>
      <c r="Y179" s="39">
        <f t="shared" si="612"/>
        <v>0</v>
      </c>
      <c r="Z179" s="39">
        <f t="shared" si="612"/>
        <v>0</v>
      </c>
      <c r="AA179" s="39">
        <f t="shared" si="612"/>
        <v>0</v>
      </c>
      <c r="AB179" s="39">
        <f t="shared" si="612"/>
        <v>0</v>
      </c>
      <c r="AC179" s="39">
        <f t="shared" si="612"/>
        <v>0</v>
      </c>
      <c r="AD179" s="39">
        <f t="shared" si="612"/>
        <v>0</v>
      </c>
      <c r="AE179" s="39">
        <f t="shared" si="612"/>
        <v>0</v>
      </c>
      <c r="AF179" s="39">
        <f t="shared" si="612"/>
        <v>0</v>
      </c>
      <c r="AG179" s="39">
        <f t="shared" si="612"/>
        <v>0</v>
      </c>
      <c r="AH179" s="39">
        <f t="shared" si="612"/>
        <v>0</v>
      </c>
      <c r="AI179" s="39">
        <f t="shared" si="612"/>
        <v>0</v>
      </c>
      <c r="AJ179" s="39">
        <f t="shared" si="612"/>
        <v>0</v>
      </c>
      <c r="AK179" s="39">
        <f t="shared" si="612"/>
        <v>0</v>
      </c>
      <c r="AL179" s="39">
        <f t="shared" si="612"/>
        <v>0</v>
      </c>
      <c r="AM179" s="39">
        <f t="shared" si="612"/>
        <v>0</v>
      </c>
      <c r="AN179" s="39">
        <f t="shared" si="612"/>
        <v>0</v>
      </c>
      <c r="AO179" s="39">
        <f t="shared" si="612"/>
        <v>0</v>
      </c>
      <c r="AP179" s="39">
        <f t="shared" si="612"/>
        <v>0</v>
      </c>
      <c r="AQ179" s="39">
        <f t="shared" si="612"/>
        <v>0</v>
      </c>
      <c r="AR179" s="39">
        <f t="shared" si="612"/>
        <v>0</v>
      </c>
      <c r="AS179" s="39">
        <f t="shared" si="612"/>
        <v>0</v>
      </c>
      <c r="AT179" s="39">
        <f t="shared" si="612"/>
        <v>0</v>
      </c>
      <c r="AU179" s="39">
        <f t="shared" si="612"/>
        <v>0</v>
      </c>
      <c r="AV179" s="39">
        <f t="shared" si="612"/>
        <v>0</v>
      </c>
      <c r="AW179" s="39">
        <f t="shared" si="612"/>
        <v>0</v>
      </c>
      <c r="AX179" s="39">
        <f t="shared" si="612"/>
        <v>0</v>
      </c>
      <c r="AY179" s="39">
        <f t="shared" si="612"/>
        <v>0</v>
      </c>
      <c r="AZ179" s="39">
        <f t="shared" si="612"/>
        <v>0</v>
      </c>
      <c r="BA179" s="39">
        <f t="shared" si="612"/>
        <v>0</v>
      </c>
      <c r="BB179" s="39">
        <f t="shared" si="612"/>
        <v>0</v>
      </c>
      <c r="BC179" s="39">
        <f t="shared" si="612"/>
        <v>0</v>
      </c>
      <c r="BD179" s="39">
        <f t="shared" si="612"/>
        <v>0</v>
      </c>
      <c r="BE179" s="39">
        <f t="shared" si="612"/>
        <v>0</v>
      </c>
      <c r="BF179" s="39">
        <f t="shared" si="612"/>
        <v>0</v>
      </c>
      <c r="BG179" s="39">
        <f t="shared" si="612"/>
        <v>0</v>
      </c>
      <c r="BH179" s="39">
        <f t="shared" si="612"/>
        <v>0</v>
      </c>
      <c r="BI179" s="39">
        <f t="shared" si="612"/>
        <v>0</v>
      </c>
      <c r="BJ179" s="39">
        <f t="shared" si="612"/>
        <v>0</v>
      </c>
      <c r="BK179" s="39">
        <f t="shared" si="612"/>
        <v>0</v>
      </c>
      <c r="BL179" s="39">
        <f t="shared" si="612"/>
        <v>0</v>
      </c>
      <c r="BM179" s="39">
        <f t="shared" si="612"/>
        <v>0</v>
      </c>
      <c r="BN179" s="39">
        <f t="shared" si="612"/>
        <v>0</v>
      </c>
      <c r="BO179" s="39">
        <f t="shared" si="612"/>
        <v>0</v>
      </c>
      <c r="BP179" s="39">
        <f t="shared" si="612"/>
        <v>0</v>
      </c>
      <c r="BQ179" s="39">
        <f t="shared" si="612"/>
        <v>0</v>
      </c>
      <c r="BR179" s="39">
        <f t="shared" si="612"/>
        <v>0</v>
      </c>
      <c r="BS179" s="39">
        <f t="shared" si="612"/>
        <v>0</v>
      </c>
      <c r="BT179" s="39">
        <f t="shared" si="612"/>
        <v>0</v>
      </c>
      <c r="BU179" s="39">
        <f t="shared" si="612"/>
        <v>0</v>
      </c>
      <c r="BV179" s="39">
        <f t="shared" si="612"/>
        <v>0</v>
      </c>
      <c r="BW179" s="39">
        <f t="shared" si="612"/>
        <v>0</v>
      </c>
      <c r="BX179" s="39">
        <f t="shared" ref="BX179:CK179" si="613">+BX178+BX177+BX171</f>
        <v>0</v>
      </c>
      <c r="BY179" s="39">
        <f t="shared" si="613"/>
        <v>0</v>
      </c>
      <c r="BZ179" s="39">
        <f t="shared" si="613"/>
        <v>0</v>
      </c>
      <c r="CA179" s="39">
        <f t="shared" si="613"/>
        <v>0</v>
      </c>
      <c r="CB179" s="39">
        <f t="shared" si="613"/>
        <v>0</v>
      </c>
      <c r="CC179" s="39">
        <f t="shared" si="613"/>
        <v>0</v>
      </c>
      <c r="CD179" s="39">
        <f t="shared" si="613"/>
        <v>0</v>
      </c>
      <c r="CE179" s="39">
        <f t="shared" si="613"/>
        <v>0</v>
      </c>
      <c r="CF179" s="39">
        <f t="shared" si="613"/>
        <v>0</v>
      </c>
      <c r="CG179" s="39">
        <f t="shared" si="613"/>
        <v>0</v>
      </c>
      <c r="CH179" s="39">
        <f t="shared" si="613"/>
        <v>0</v>
      </c>
      <c r="CI179" s="39">
        <f t="shared" si="613"/>
        <v>0</v>
      </c>
      <c r="CJ179" s="39">
        <f t="shared" si="613"/>
        <v>0</v>
      </c>
      <c r="CK179" s="39">
        <f t="shared" si="613"/>
        <v>0</v>
      </c>
      <c r="CL179" s="39">
        <f t="shared" si="567"/>
        <v>0</v>
      </c>
      <c r="CM179" s="39">
        <f t="shared" si="567"/>
        <v>0</v>
      </c>
      <c r="CN179" s="39">
        <f t="shared" si="567"/>
        <v>0</v>
      </c>
      <c r="CO179" s="39">
        <f t="shared" si="567"/>
        <v>0</v>
      </c>
      <c r="CP179" s="39">
        <f t="shared" si="567"/>
        <v>0</v>
      </c>
      <c r="CQ179" s="39">
        <f t="shared" si="567"/>
        <v>0</v>
      </c>
      <c r="CR179" s="37">
        <f t="shared" si="568"/>
        <v>0</v>
      </c>
      <c r="CS179" s="39">
        <f t="shared" si="569"/>
        <v>0</v>
      </c>
      <c r="CT179" s="53">
        <f t="shared" si="570"/>
        <v>0</v>
      </c>
      <c r="CU179" s="39">
        <f t="shared" si="571"/>
        <v>0</v>
      </c>
      <c r="CV179" s="39">
        <f t="shared" si="572"/>
        <v>0</v>
      </c>
      <c r="CW179" s="39">
        <f t="shared" si="573"/>
        <v>0</v>
      </c>
      <c r="CX179" s="39">
        <f t="shared" si="574"/>
        <v>0</v>
      </c>
      <c r="CY179" s="39">
        <f t="shared" si="575"/>
        <v>0</v>
      </c>
      <c r="CZ179" s="39">
        <f t="shared" si="576"/>
        <v>0</v>
      </c>
      <c r="DA179" s="39">
        <f t="shared" si="577"/>
        <v>0</v>
      </c>
      <c r="DB179" s="39">
        <f t="shared" si="578"/>
        <v>0</v>
      </c>
      <c r="DC179" s="39">
        <f t="shared" si="579"/>
        <v>0</v>
      </c>
      <c r="DD179" s="39">
        <f>+HLOOKUP('Reporte Evolución Mensual'!$F$2-2,$CR$2:$DC$251, Input!$DG179, FALSE)</f>
        <v>0</v>
      </c>
      <c r="DE179" s="39">
        <f>+HLOOKUP('Reporte Evolución Mensual'!$F$2-1,$CR$2:$DC$251, Input!$DG179, FALSE)</f>
        <v>0</v>
      </c>
      <c r="DF179" s="39">
        <f>+HLOOKUP('Reporte Evolución Mensual'!$F$2,$CR$2:$DC$251, Input!$DG179, FALSE)</f>
        <v>0</v>
      </c>
      <c r="DG179" s="40">
        <f t="shared" si="479"/>
        <v>179</v>
      </c>
      <c r="DH179" s="66"/>
      <c r="DI179" s="66"/>
      <c r="DJ179" s="66"/>
      <c r="DK179" s="66"/>
      <c r="DL179" s="39"/>
      <c r="DM179" s="39"/>
      <c r="DN179" s="39"/>
      <c r="DO179" s="58"/>
      <c r="DP179" s="58"/>
      <c r="DQ179" s="58"/>
      <c r="DR179" s="58"/>
      <c r="DS179" s="1"/>
      <c r="DT179" s="1"/>
      <c r="DU179" s="1"/>
      <c r="DV179" s="345" t="s">
        <v>163</v>
      </c>
    </row>
    <row r="180" spans="1:126" ht="15" customHeight="1" x14ac:dyDescent="0.3">
      <c r="A180" s="1" t="str">
        <f t="shared" si="419"/>
        <v>ADIFSE</v>
      </c>
      <c r="B180" s="1" t="str">
        <f t="shared" si="420"/>
        <v>ADIFSE</v>
      </c>
      <c r="C180" s="1" t="str">
        <f t="shared" si="421"/>
        <v>MAY</v>
      </c>
      <c r="D180" s="1" t="s">
        <v>108</v>
      </c>
      <c r="E180" s="123" t="s">
        <v>333</v>
      </c>
      <c r="F180" s="126"/>
      <c r="G180" s="16"/>
      <c r="H180" s="7"/>
      <c r="I180" s="7"/>
      <c r="J180" s="7"/>
      <c r="K180" s="37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39"/>
      <c r="CO180" s="39"/>
      <c r="CP180" s="39"/>
      <c r="CQ180" s="39"/>
      <c r="CR180" s="37"/>
      <c r="CS180" s="39"/>
      <c r="CT180" s="53"/>
      <c r="CU180" s="39"/>
      <c r="CV180" s="39"/>
      <c r="CW180" s="39"/>
      <c r="CX180" s="39"/>
      <c r="CY180" s="39"/>
      <c r="CZ180" s="39"/>
      <c r="DA180" s="39"/>
      <c r="DB180" s="39"/>
      <c r="DC180" s="39"/>
      <c r="DD180" s="39">
        <f>+HLOOKUP('Reporte Evolución Mensual'!$F$2-2,$CR$2:$DC$251, Input!$DG180, FALSE)</f>
        <v>0</v>
      </c>
      <c r="DE180" s="39">
        <f>+HLOOKUP('Reporte Evolución Mensual'!$F$2-1,$CR$2:$DC$251, Input!$DG180, FALSE)</f>
        <v>0</v>
      </c>
      <c r="DF180" s="39">
        <f>+HLOOKUP('Reporte Evolución Mensual'!$F$2,$CR$2:$DC$251, Input!$DG180, FALSE)</f>
        <v>0</v>
      </c>
      <c r="DG180" s="40">
        <f t="shared" si="479"/>
        <v>180</v>
      </c>
      <c r="DH180" s="66"/>
      <c r="DI180" s="66"/>
      <c r="DJ180" s="66"/>
      <c r="DK180" s="66"/>
      <c r="DL180" s="39"/>
      <c r="DM180" s="39"/>
      <c r="DN180" s="39"/>
      <c r="DO180" s="58"/>
      <c r="DP180" s="58"/>
      <c r="DQ180" s="58"/>
      <c r="DR180" s="58"/>
      <c r="DS180" s="1"/>
      <c r="DT180" s="1"/>
      <c r="DU180" s="1"/>
      <c r="DV180" s="345"/>
    </row>
    <row r="181" spans="1:126" ht="15" customHeight="1" x14ac:dyDescent="0.3">
      <c r="A181" s="1" t="str">
        <f t="shared" si="419"/>
        <v>ADIFSE</v>
      </c>
      <c r="B181" s="1" t="str">
        <f t="shared" si="420"/>
        <v>ADIFSE</v>
      </c>
      <c r="C181" s="1" t="str">
        <f t="shared" si="421"/>
        <v>MAY</v>
      </c>
      <c r="D181" s="1" t="s">
        <v>163</v>
      </c>
      <c r="E181" s="123" t="str">
        <f t="shared" ref="E181" si="614">CONCATENATE(H181," - ",I181)</f>
        <v>Servicio de la Deuda - Intereses y comisiones</v>
      </c>
      <c r="F181" s="127" t="s">
        <v>223</v>
      </c>
      <c r="G181" s="16" t="s">
        <v>189</v>
      </c>
      <c r="H181" s="7" t="s">
        <v>224</v>
      </c>
      <c r="I181" s="7" t="s">
        <v>225</v>
      </c>
      <c r="J181" s="32" t="s">
        <v>289</v>
      </c>
      <c r="K181" s="66"/>
      <c r="L181" s="74"/>
      <c r="M181" s="74"/>
      <c r="N181" s="74"/>
      <c r="O181" s="74"/>
      <c r="P181" s="74"/>
      <c r="Q181" s="67">
        <f t="shared" ref="Q181:Q182" si="615">SUM(L181:P181)</f>
        <v>0</v>
      </c>
      <c r="R181" s="74"/>
      <c r="S181" s="74"/>
      <c r="T181" s="74"/>
      <c r="U181" s="74"/>
      <c r="V181" s="74"/>
      <c r="W181" s="67">
        <f t="shared" ref="W181:W182" si="616">SUM(R181:V181)</f>
        <v>0</v>
      </c>
      <c r="X181" s="74"/>
      <c r="Y181" s="74"/>
      <c r="Z181" s="74"/>
      <c r="AA181" s="74"/>
      <c r="AB181" s="74"/>
      <c r="AC181" s="67">
        <f t="shared" ref="AC181:AC182" si="617">SUM(X181:AB181)</f>
        <v>0</v>
      </c>
      <c r="AD181" s="74"/>
      <c r="AE181" s="74"/>
      <c r="AF181" s="74"/>
      <c r="AG181" s="74"/>
      <c r="AH181" s="74"/>
      <c r="AI181" s="67">
        <f t="shared" ref="AI181:AI182" si="618">SUM(AD181:AH181)</f>
        <v>0</v>
      </c>
      <c r="AJ181" s="74"/>
      <c r="AK181" s="74"/>
      <c r="AL181" s="74"/>
      <c r="AM181" s="74"/>
      <c r="AN181" s="74"/>
      <c r="AO181" s="67">
        <f t="shared" ref="AO181:AO182" si="619">SUM(AJ181:AN181)</f>
        <v>0</v>
      </c>
      <c r="AP181" s="74"/>
      <c r="AQ181" s="74"/>
      <c r="AR181" s="74"/>
      <c r="AS181" s="74"/>
      <c r="AT181" s="74"/>
      <c r="AU181" s="67">
        <f t="shared" ref="AU181:AU182" si="620">SUM(AP181:AT181)</f>
        <v>0</v>
      </c>
      <c r="AV181" s="74"/>
      <c r="AW181" s="74"/>
      <c r="AX181" s="74"/>
      <c r="AY181" s="74"/>
      <c r="AZ181" s="74"/>
      <c r="BA181" s="67">
        <f t="shared" ref="BA181:BA182" si="621">SUM(AV181:AZ181)</f>
        <v>0</v>
      </c>
      <c r="BB181" s="74"/>
      <c r="BC181" s="74"/>
      <c r="BD181" s="74"/>
      <c r="BE181" s="74"/>
      <c r="BF181" s="74"/>
      <c r="BG181" s="67">
        <f t="shared" ref="BG181:BG182" si="622">SUM(BB181:BF181)</f>
        <v>0</v>
      </c>
      <c r="BH181" s="74"/>
      <c r="BI181" s="74"/>
      <c r="BJ181" s="74"/>
      <c r="BK181" s="74"/>
      <c r="BL181" s="74"/>
      <c r="BM181" s="67">
        <f t="shared" ref="BM181:BM182" si="623">SUM(BH181:BL181)</f>
        <v>0</v>
      </c>
      <c r="BN181" s="74"/>
      <c r="BO181" s="74"/>
      <c r="BP181" s="74"/>
      <c r="BQ181" s="74"/>
      <c r="BR181" s="74"/>
      <c r="BS181" s="67">
        <f t="shared" ref="BS181:BS182" si="624">SUM(BN181:BR181)</f>
        <v>0</v>
      </c>
      <c r="BT181" s="74"/>
      <c r="BU181" s="74"/>
      <c r="BV181" s="74"/>
      <c r="BW181" s="74"/>
      <c r="BX181" s="74"/>
      <c r="BY181" s="67">
        <f t="shared" ref="BY181:BY182" si="625">SUM(BT181:BX181)</f>
        <v>0</v>
      </c>
      <c r="BZ181" s="74"/>
      <c r="CA181" s="74"/>
      <c r="CB181" s="74"/>
      <c r="CC181" s="74"/>
      <c r="CD181" s="74"/>
      <c r="CE181" s="67">
        <f t="shared" ref="CE181:CE182" si="626">SUM(BZ181:CD181)</f>
        <v>0</v>
      </c>
      <c r="CF181" s="74"/>
      <c r="CG181" s="74"/>
      <c r="CH181" s="74"/>
      <c r="CI181" s="74"/>
      <c r="CJ181" s="74"/>
      <c r="CK181" s="67">
        <f t="shared" ref="CK181:CK182" si="627">SUM(CF181:CJ181)</f>
        <v>0</v>
      </c>
      <c r="CL181" s="67">
        <f t="shared" ref="CL181:CQ182" si="628">+R181+X181+AD181+AJ181+AP181+AV181+BB181+BH181+BN181+BT181+BZ181+CF181</f>
        <v>0</v>
      </c>
      <c r="CM181" s="67">
        <f t="shared" si="628"/>
        <v>0</v>
      </c>
      <c r="CN181" s="67">
        <f t="shared" si="628"/>
        <v>0</v>
      </c>
      <c r="CO181" s="67">
        <f t="shared" si="628"/>
        <v>0</v>
      </c>
      <c r="CP181" s="67">
        <f t="shared" si="628"/>
        <v>0</v>
      </c>
      <c r="CQ181" s="67">
        <f t="shared" si="628"/>
        <v>0</v>
      </c>
      <c r="CR181" s="37">
        <f t="shared" ref="CR181:CR182" si="629">+W181</f>
        <v>0</v>
      </c>
      <c r="CS181" s="39">
        <f t="shared" ref="CS181:CS182" si="630">+AC181</f>
        <v>0</v>
      </c>
      <c r="CT181" s="53">
        <f t="shared" ref="CT181:CT182" si="631">+AI181</f>
        <v>0</v>
      </c>
      <c r="CU181" s="39">
        <f t="shared" ref="CU181:CU182" si="632">+AO181</f>
        <v>0</v>
      </c>
      <c r="CV181" s="39">
        <f t="shared" ref="CV181:CV182" si="633">+AU181</f>
        <v>0</v>
      </c>
      <c r="CW181" s="39">
        <f t="shared" ref="CW181:CW182" si="634">+BA181</f>
        <v>0</v>
      </c>
      <c r="CX181" s="39">
        <f t="shared" ref="CX181:CX182" si="635">+BG181</f>
        <v>0</v>
      </c>
      <c r="CY181" s="39">
        <f t="shared" ref="CY181:CY182" si="636">+BM181</f>
        <v>0</v>
      </c>
      <c r="CZ181" s="39">
        <f t="shared" ref="CZ181:CZ182" si="637">+BS181</f>
        <v>0</v>
      </c>
      <c r="DA181" s="39">
        <f t="shared" ref="DA181:DA182" si="638">+BY181</f>
        <v>0</v>
      </c>
      <c r="DB181" s="39">
        <f t="shared" ref="DB181:DB182" si="639">+CE181</f>
        <v>0</v>
      </c>
      <c r="DC181" s="39">
        <f t="shared" ref="DC181:DC182" si="640">+CK181</f>
        <v>0</v>
      </c>
      <c r="DD181" s="39">
        <f>+HLOOKUP('Reporte Evolución Mensual'!$F$2-2,$CR$2:$DC$251, Input!$DG181, FALSE)</f>
        <v>0</v>
      </c>
      <c r="DE181" s="39">
        <f>+HLOOKUP('Reporte Evolución Mensual'!$F$2-1,$CR$2:$DC$251, Input!$DG181, FALSE)</f>
        <v>0</v>
      </c>
      <c r="DF181" s="39">
        <f>+HLOOKUP('Reporte Evolución Mensual'!$F$2,$CR$2:$DC$251, Input!$DG181, FALSE)</f>
        <v>0</v>
      </c>
      <c r="DG181" s="40">
        <f t="shared" si="479"/>
        <v>181</v>
      </c>
      <c r="DH181" s="39"/>
      <c r="DI181" s="39"/>
      <c r="DJ181" s="39"/>
      <c r="DK181" s="39"/>
      <c r="DL181" s="39"/>
      <c r="DM181" s="39"/>
      <c r="DN181" s="39"/>
      <c r="DO181" s="58"/>
      <c r="DP181" s="58"/>
      <c r="DQ181" s="58"/>
      <c r="DR181" s="58"/>
      <c r="DS181" s="1"/>
      <c r="DT181" s="1"/>
      <c r="DU181" s="1"/>
      <c r="DV181" s="345"/>
    </row>
    <row r="182" spans="1:126" ht="15" customHeight="1" x14ac:dyDescent="0.3">
      <c r="A182" s="1" t="str">
        <f t="shared" si="419"/>
        <v>ADIFSE</v>
      </c>
      <c r="B182" s="1" t="str">
        <f t="shared" si="420"/>
        <v>ADIFSE</v>
      </c>
      <c r="C182" s="1" t="str">
        <f t="shared" si="421"/>
        <v>MAY</v>
      </c>
      <c r="D182" s="1" t="s">
        <v>163</v>
      </c>
      <c r="E182" s="119" t="str">
        <f>H182</f>
        <v>Otros Gastos</v>
      </c>
      <c r="F182" s="127" t="s">
        <v>227</v>
      </c>
      <c r="G182" s="16" t="s">
        <v>189</v>
      </c>
      <c r="H182" s="7" t="s">
        <v>226</v>
      </c>
      <c r="I182" s="7" t="s">
        <v>226</v>
      </c>
      <c r="J182" s="32" t="s">
        <v>289</v>
      </c>
      <c r="K182" s="66"/>
      <c r="L182" s="74"/>
      <c r="M182" s="74"/>
      <c r="N182" s="74"/>
      <c r="O182" s="74"/>
      <c r="P182" s="74"/>
      <c r="Q182" s="67">
        <f t="shared" si="615"/>
        <v>0</v>
      </c>
      <c r="R182" s="74"/>
      <c r="S182" s="74"/>
      <c r="T182" s="74"/>
      <c r="U182" s="74"/>
      <c r="V182" s="74"/>
      <c r="W182" s="67">
        <f t="shared" si="616"/>
        <v>0</v>
      </c>
      <c r="X182" s="74"/>
      <c r="Y182" s="74"/>
      <c r="Z182" s="74"/>
      <c r="AA182" s="74"/>
      <c r="AB182" s="74"/>
      <c r="AC182" s="67">
        <f t="shared" si="617"/>
        <v>0</v>
      </c>
      <c r="AD182" s="74"/>
      <c r="AE182" s="74"/>
      <c r="AF182" s="74"/>
      <c r="AG182" s="74"/>
      <c r="AH182" s="74"/>
      <c r="AI182" s="67">
        <f t="shared" si="618"/>
        <v>0</v>
      </c>
      <c r="AJ182" s="74"/>
      <c r="AK182" s="74"/>
      <c r="AL182" s="74"/>
      <c r="AM182" s="74"/>
      <c r="AN182" s="74"/>
      <c r="AO182" s="67">
        <f t="shared" si="619"/>
        <v>0</v>
      </c>
      <c r="AP182" s="74"/>
      <c r="AQ182" s="74"/>
      <c r="AR182" s="74"/>
      <c r="AS182" s="74"/>
      <c r="AT182" s="74"/>
      <c r="AU182" s="67">
        <f t="shared" si="620"/>
        <v>0</v>
      </c>
      <c r="AV182" s="74"/>
      <c r="AW182" s="74"/>
      <c r="AX182" s="74"/>
      <c r="AY182" s="74"/>
      <c r="AZ182" s="74"/>
      <c r="BA182" s="67">
        <f t="shared" si="621"/>
        <v>0</v>
      </c>
      <c r="BB182" s="74"/>
      <c r="BC182" s="74"/>
      <c r="BD182" s="74"/>
      <c r="BE182" s="74"/>
      <c r="BF182" s="74"/>
      <c r="BG182" s="67">
        <f t="shared" si="622"/>
        <v>0</v>
      </c>
      <c r="BH182" s="74"/>
      <c r="BI182" s="74"/>
      <c r="BJ182" s="74"/>
      <c r="BK182" s="74"/>
      <c r="BL182" s="74"/>
      <c r="BM182" s="67">
        <f t="shared" si="623"/>
        <v>0</v>
      </c>
      <c r="BN182" s="74"/>
      <c r="BO182" s="74"/>
      <c r="BP182" s="74"/>
      <c r="BQ182" s="74"/>
      <c r="BR182" s="74"/>
      <c r="BS182" s="67">
        <f t="shared" si="624"/>
        <v>0</v>
      </c>
      <c r="BT182" s="74"/>
      <c r="BU182" s="74"/>
      <c r="BV182" s="74"/>
      <c r="BW182" s="74"/>
      <c r="BX182" s="74"/>
      <c r="BY182" s="67">
        <f t="shared" si="625"/>
        <v>0</v>
      </c>
      <c r="BZ182" s="74"/>
      <c r="CA182" s="74"/>
      <c r="CB182" s="74"/>
      <c r="CC182" s="74"/>
      <c r="CD182" s="74"/>
      <c r="CE182" s="67">
        <f t="shared" si="626"/>
        <v>0</v>
      </c>
      <c r="CF182" s="74"/>
      <c r="CG182" s="74"/>
      <c r="CH182" s="74"/>
      <c r="CI182" s="74"/>
      <c r="CJ182" s="74"/>
      <c r="CK182" s="67">
        <f t="shared" si="627"/>
        <v>0</v>
      </c>
      <c r="CL182" s="67">
        <f t="shared" si="628"/>
        <v>0</v>
      </c>
      <c r="CM182" s="67">
        <f t="shared" si="628"/>
        <v>0</v>
      </c>
      <c r="CN182" s="67">
        <f t="shared" si="628"/>
        <v>0</v>
      </c>
      <c r="CO182" s="67">
        <f t="shared" si="628"/>
        <v>0</v>
      </c>
      <c r="CP182" s="67">
        <f t="shared" si="628"/>
        <v>0</v>
      </c>
      <c r="CQ182" s="67">
        <f t="shared" si="628"/>
        <v>0</v>
      </c>
      <c r="CR182" s="37">
        <f t="shared" si="629"/>
        <v>0</v>
      </c>
      <c r="CS182" s="39">
        <f t="shared" si="630"/>
        <v>0</v>
      </c>
      <c r="CT182" s="53">
        <f t="shared" si="631"/>
        <v>0</v>
      </c>
      <c r="CU182" s="39">
        <f t="shared" si="632"/>
        <v>0</v>
      </c>
      <c r="CV182" s="39">
        <f t="shared" si="633"/>
        <v>0</v>
      </c>
      <c r="CW182" s="39">
        <f t="shared" si="634"/>
        <v>0</v>
      </c>
      <c r="CX182" s="39">
        <f t="shared" si="635"/>
        <v>0</v>
      </c>
      <c r="CY182" s="39">
        <f t="shared" si="636"/>
        <v>0</v>
      </c>
      <c r="CZ182" s="39">
        <f t="shared" si="637"/>
        <v>0</v>
      </c>
      <c r="DA182" s="39">
        <f t="shared" si="638"/>
        <v>0</v>
      </c>
      <c r="DB182" s="39">
        <f t="shared" si="639"/>
        <v>0</v>
      </c>
      <c r="DC182" s="39">
        <f t="shared" si="640"/>
        <v>0</v>
      </c>
      <c r="DD182" s="39">
        <f>+HLOOKUP('Reporte Evolución Mensual'!$F$2-2,$CR$2:$DC$251, Input!$DG182, FALSE)</f>
        <v>0</v>
      </c>
      <c r="DE182" s="39">
        <f>+HLOOKUP('Reporte Evolución Mensual'!$F$2-1,$CR$2:$DC$251, Input!$DG182, FALSE)</f>
        <v>0</v>
      </c>
      <c r="DF182" s="39">
        <f>+HLOOKUP('Reporte Evolución Mensual'!$F$2,$CR$2:$DC$251, Input!$DG182, FALSE)</f>
        <v>0</v>
      </c>
      <c r="DG182" s="40">
        <f t="shared" si="479"/>
        <v>182</v>
      </c>
      <c r="DH182" s="39"/>
      <c r="DI182" s="39"/>
      <c r="DJ182" s="39"/>
      <c r="DK182" s="39"/>
      <c r="DL182" s="39"/>
      <c r="DM182" s="39"/>
      <c r="DN182" s="39"/>
      <c r="DO182" s="58"/>
      <c r="DP182" s="58"/>
      <c r="DQ182" s="58"/>
      <c r="DR182" s="58"/>
      <c r="DS182" s="1"/>
      <c r="DT182" s="1"/>
      <c r="DU182" s="1"/>
      <c r="DV182" s="345" t="s">
        <v>163</v>
      </c>
    </row>
    <row r="183" spans="1:126" ht="15" customHeight="1" x14ac:dyDescent="0.3">
      <c r="A183" s="1" t="str">
        <f t="shared" si="419"/>
        <v>ADIFSE</v>
      </c>
      <c r="B183" s="1" t="str">
        <f t="shared" si="420"/>
        <v>ADIFSE</v>
      </c>
      <c r="C183" s="1" t="str">
        <f t="shared" si="421"/>
        <v>MAY</v>
      </c>
      <c r="D183" s="1" t="s">
        <v>108</v>
      </c>
      <c r="E183" s="123" t="s">
        <v>333</v>
      </c>
      <c r="F183" s="127"/>
      <c r="G183" s="16"/>
      <c r="H183" s="7"/>
      <c r="I183" s="7"/>
      <c r="J183" s="7"/>
      <c r="K183" s="66"/>
      <c r="L183" s="66"/>
      <c r="M183" s="66"/>
      <c r="N183" s="66"/>
      <c r="O183" s="66"/>
      <c r="P183" s="66"/>
      <c r="Q183" s="67"/>
      <c r="R183" s="66"/>
      <c r="S183" s="66"/>
      <c r="T183" s="66"/>
      <c r="U183" s="66"/>
      <c r="V183" s="66"/>
      <c r="W183" s="68"/>
      <c r="X183" s="66"/>
      <c r="Y183" s="66"/>
      <c r="Z183" s="66"/>
      <c r="AA183" s="66"/>
      <c r="AB183" s="66"/>
      <c r="AC183" s="68"/>
      <c r="AD183" s="66"/>
      <c r="AE183" s="66"/>
      <c r="AF183" s="66"/>
      <c r="AG183" s="66"/>
      <c r="AH183" s="66"/>
      <c r="AI183" s="68"/>
      <c r="AJ183" s="66"/>
      <c r="AK183" s="66"/>
      <c r="AL183" s="66"/>
      <c r="AM183" s="66"/>
      <c r="AN183" s="66"/>
      <c r="AO183" s="68"/>
      <c r="AP183" s="66"/>
      <c r="AQ183" s="66"/>
      <c r="AR183" s="66"/>
      <c r="AS183" s="66"/>
      <c r="AT183" s="66"/>
      <c r="AU183" s="68"/>
      <c r="AV183" s="66"/>
      <c r="AW183" s="66"/>
      <c r="AX183" s="66"/>
      <c r="AY183" s="66"/>
      <c r="AZ183" s="66"/>
      <c r="BA183" s="68"/>
      <c r="BB183" s="66"/>
      <c r="BC183" s="66"/>
      <c r="BD183" s="66"/>
      <c r="BE183" s="66"/>
      <c r="BF183" s="66"/>
      <c r="BG183" s="68"/>
      <c r="BH183" s="66"/>
      <c r="BI183" s="66"/>
      <c r="BJ183" s="66"/>
      <c r="BK183" s="66"/>
      <c r="BL183" s="66"/>
      <c r="BM183" s="68"/>
      <c r="BN183" s="66"/>
      <c r="BO183" s="66"/>
      <c r="BP183" s="66"/>
      <c r="BQ183" s="66"/>
      <c r="BR183" s="66"/>
      <c r="BS183" s="68"/>
      <c r="BT183" s="66"/>
      <c r="BU183" s="66"/>
      <c r="BV183" s="66"/>
      <c r="BW183" s="66"/>
      <c r="BX183" s="66"/>
      <c r="BY183" s="68"/>
      <c r="BZ183" s="66"/>
      <c r="CA183" s="66"/>
      <c r="CB183" s="66"/>
      <c r="CC183" s="66"/>
      <c r="CD183" s="66"/>
      <c r="CE183" s="68"/>
      <c r="CF183" s="66"/>
      <c r="CG183" s="66"/>
      <c r="CH183" s="66"/>
      <c r="CI183" s="66"/>
      <c r="CJ183" s="66"/>
      <c r="CK183" s="68"/>
      <c r="CL183" s="67"/>
      <c r="CM183" s="67"/>
      <c r="CN183" s="67"/>
      <c r="CO183" s="67"/>
      <c r="CP183" s="67"/>
      <c r="CQ183" s="67"/>
      <c r="CR183" s="37"/>
      <c r="CS183" s="39"/>
      <c r="CT183" s="53"/>
      <c r="CU183" s="39"/>
      <c r="CV183" s="39"/>
      <c r="CW183" s="39"/>
      <c r="CX183" s="39"/>
      <c r="CY183" s="39"/>
      <c r="CZ183" s="39"/>
      <c r="DA183" s="39"/>
      <c r="DB183" s="39"/>
      <c r="DC183" s="39"/>
      <c r="DD183" s="39">
        <f>+HLOOKUP('Reporte Evolución Mensual'!$F$2-2,$CR$2:$DC$251, Input!$DG183, FALSE)</f>
        <v>56814497.700000003</v>
      </c>
      <c r="DE183" s="39">
        <f>+HLOOKUP('Reporte Evolución Mensual'!$F$2-1,$CR$2:$DC$251, Input!$DG183, FALSE)</f>
        <v>56508375.13000001</v>
      </c>
      <c r="DF183" s="39">
        <f>+HLOOKUP('Reporte Evolución Mensual'!$F$2,$CR$2:$DC$251, Input!$DG183, FALSE)</f>
        <v>53487162.529999994</v>
      </c>
      <c r="DG183" s="40">
        <f t="shared" si="479"/>
        <v>183</v>
      </c>
      <c r="DH183" s="39"/>
      <c r="DI183" s="39"/>
      <c r="DJ183" s="39"/>
      <c r="DK183" s="39"/>
      <c r="DL183" s="39"/>
      <c r="DM183" s="39"/>
      <c r="DN183" s="39"/>
      <c r="DO183" s="58"/>
      <c r="DP183" s="58"/>
      <c r="DQ183" s="58"/>
      <c r="DR183" s="58"/>
      <c r="DS183" s="1"/>
      <c r="DT183" s="1"/>
      <c r="DU183" s="1"/>
      <c r="DV183" s="345" t="s">
        <v>163</v>
      </c>
    </row>
    <row r="184" spans="1:126" ht="15" customHeight="1" x14ac:dyDescent="0.3">
      <c r="A184" s="1" t="str">
        <f t="shared" si="419"/>
        <v>ADIFSE</v>
      </c>
      <c r="B184" s="1" t="str">
        <f t="shared" si="420"/>
        <v>ADIFSE</v>
      </c>
      <c r="C184" s="1" t="str">
        <f t="shared" si="421"/>
        <v>MAY</v>
      </c>
      <c r="D184" s="41" t="s">
        <v>108</v>
      </c>
      <c r="E184" s="122" t="str">
        <f>CONCATENATE(G184," - ",I184)</f>
        <v>Gastos Corrientes - Total</v>
      </c>
      <c r="F184" s="125"/>
      <c r="G184" s="16" t="s">
        <v>189</v>
      </c>
      <c r="H184" s="7" t="s">
        <v>173</v>
      </c>
      <c r="I184" s="7" t="s">
        <v>173</v>
      </c>
      <c r="J184" s="32" t="s">
        <v>289</v>
      </c>
      <c r="K184" s="55"/>
      <c r="L184" s="55">
        <f t="shared" ref="L184:BW184" si="641">+L153+L154+L166+L179+L181+L182</f>
        <v>0</v>
      </c>
      <c r="M184" s="55">
        <f t="shared" si="641"/>
        <v>0</v>
      </c>
      <c r="N184" s="55">
        <f t="shared" si="641"/>
        <v>0</v>
      </c>
      <c r="O184" s="55">
        <f t="shared" si="641"/>
        <v>0</v>
      </c>
      <c r="P184" s="55">
        <f t="shared" si="641"/>
        <v>0</v>
      </c>
      <c r="Q184" s="55">
        <f t="shared" si="641"/>
        <v>0</v>
      </c>
      <c r="R184" s="55">
        <f t="shared" si="641"/>
        <v>49338615.68</v>
      </c>
      <c r="S184" s="55">
        <f t="shared" si="641"/>
        <v>0</v>
      </c>
      <c r="T184" s="55">
        <f t="shared" si="641"/>
        <v>0</v>
      </c>
      <c r="U184" s="55">
        <f t="shared" si="641"/>
        <v>0</v>
      </c>
      <c r="V184" s="55">
        <f t="shared" si="641"/>
        <v>0</v>
      </c>
      <c r="W184" s="55">
        <f t="shared" si="641"/>
        <v>49338615.68</v>
      </c>
      <c r="X184" s="55">
        <f t="shared" si="641"/>
        <v>41543804.030000001</v>
      </c>
      <c r="Y184" s="55">
        <f t="shared" si="641"/>
        <v>0</v>
      </c>
      <c r="Z184" s="55">
        <f t="shared" si="641"/>
        <v>0</v>
      </c>
      <c r="AA184" s="55">
        <f>+AA153+AA154+AA166+AA179+AA181+AA182</f>
        <v>15000249.33</v>
      </c>
      <c r="AB184" s="55">
        <f t="shared" si="641"/>
        <v>0</v>
      </c>
      <c r="AC184" s="55">
        <f t="shared" si="641"/>
        <v>56544053.359999999</v>
      </c>
      <c r="AD184" s="55">
        <f t="shared" si="641"/>
        <v>41815531.210000001</v>
      </c>
      <c r="AE184" s="55">
        <f t="shared" si="641"/>
        <v>0</v>
      </c>
      <c r="AF184" s="55">
        <f t="shared" si="641"/>
        <v>0</v>
      </c>
      <c r="AG184" s="55">
        <f t="shared" si="641"/>
        <v>14998966.49</v>
      </c>
      <c r="AH184" s="55">
        <f t="shared" si="641"/>
        <v>0</v>
      </c>
      <c r="AI184" s="55">
        <f t="shared" si="641"/>
        <v>56814497.700000003</v>
      </c>
      <c r="AJ184" s="55">
        <f t="shared" si="641"/>
        <v>56508375.13000001</v>
      </c>
      <c r="AK184" s="55">
        <f t="shared" si="641"/>
        <v>0</v>
      </c>
      <c r="AL184" s="55">
        <f t="shared" si="641"/>
        <v>0</v>
      </c>
      <c r="AM184" s="55">
        <f t="shared" si="641"/>
        <v>0</v>
      </c>
      <c r="AN184" s="55">
        <f t="shared" si="641"/>
        <v>0</v>
      </c>
      <c r="AO184" s="55">
        <f t="shared" si="641"/>
        <v>56508375.13000001</v>
      </c>
      <c r="AP184" s="55">
        <f t="shared" si="641"/>
        <v>53487162.529999994</v>
      </c>
      <c r="AQ184" s="55">
        <f t="shared" si="641"/>
        <v>0</v>
      </c>
      <c r="AR184" s="55">
        <f t="shared" si="641"/>
        <v>0</v>
      </c>
      <c r="AS184" s="55">
        <f t="shared" si="641"/>
        <v>0</v>
      </c>
      <c r="AT184" s="55">
        <f t="shared" si="641"/>
        <v>0</v>
      </c>
      <c r="AU184" s="55">
        <f t="shared" si="641"/>
        <v>53487162.529999994</v>
      </c>
      <c r="AV184" s="55">
        <f t="shared" si="641"/>
        <v>0</v>
      </c>
      <c r="AW184" s="55">
        <f t="shared" si="641"/>
        <v>0</v>
      </c>
      <c r="AX184" s="55">
        <f t="shared" si="641"/>
        <v>0</v>
      </c>
      <c r="AY184" s="55">
        <f t="shared" si="641"/>
        <v>0</v>
      </c>
      <c r="AZ184" s="55">
        <f t="shared" si="641"/>
        <v>0</v>
      </c>
      <c r="BA184" s="55">
        <f t="shared" si="641"/>
        <v>0</v>
      </c>
      <c r="BB184" s="55">
        <f t="shared" si="641"/>
        <v>0</v>
      </c>
      <c r="BC184" s="55">
        <f t="shared" si="641"/>
        <v>0</v>
      </c>
      <c r="BD184" s="55">
        <f t="shared" si="641"/>
        <v>0</v>
      </c>
      <c r="BE184" s="55">
        <f t="shared" si="641"/>
        <v>0</v>
      </c>
      <c r="BF184" s="55">
        <f t="shared" si="641"/>
        <v>0</v>
      </c>
      <c r="BG184" s="55">
        <f t="shared" si="641"/>
        <v>0</v>
      </c>
      <c r="BH184" s="55">
        <f t="shared" si="641"/>
        <v>0</v>
      </c>
      <c r="BI184" s="55">
        <f t="shared" si="641"/>
        <v>0</v>
      </c>
      <c r="BJ184" s="55">
        <f t="shared" si="641"/>
        <v>0</v>
      </c>
      <c r="BK184" s="55">
        <f t="shared" si="641"/>
        <v>0</v>
      </c>
      <c r="BL184" s="55">
        <f t="shared" si="641"/>
        <v>0</v>
      </c>
      <c r="BM184" s="55">
        <f t="shared" si="641"/>
        <v>0</v>
      </c>
      <c r="BN184" s="55">
        <f t="shared" si="641"/>
        <v>0</v>
      </c>
      <c r="BO184" s="55">
        <f t="shared" si="641"/>
        <v>0</v>
      </c>
      <c r="BP184" s="55">
        <f t="shared" si="641"/>
        <v>0</v>
      </c>
      <c r="BQ184" s="55">
        <f t="shared" si="641"/>
        <v>0</v>
      </c>
      <c r="BR184" s="55">
        <f t="shared" si="641"/>
        <v>0</v>
      </c>
      <c r="BS184" s="55">
        <f t="shared" si="641"/>
        <v>0</v>
      </c>
      <c r="BT184" s="55">
        <f t="shared" si="641"/>
        <v>0</v>
      </c>
      <c r="BU184" s="55">
        <f t="shared" si="641"/>
        <v>0</v>
      </c>
      <c r="BV184" s="55">
        <f t="shared" si="641"/>
        <v>0</v>
      </c>
      <c r="BW184" s="55">
        <f t="shared" si="641"/>
        <v>0</v>
      </c>
      <c r="BX184" s="55">
        <f t="shared" ref="BX184:CK184" si="642">+BX153+BX154+BX166+BX179+BX181+BX182</f>
        <v>0</v>
      </c>
      <c r="BY184" s="55">
        <f t="shared" si="642"/>
        <v>0</v>
      </c>
      <c r="BZ184" s="55">
        <f t="shared" si="642"/>
        <v>0</v>
      </c>
      <c r="CA184" s="55">
        <f t="shared" si="642"/>
        <v>0</v>
      </c>
      <c r="CB184" s="55">
        <f t="shared" si="642"/>
        <v>0</v>
      </c>
      <c r="CC184" s="55">
        <f t="shared" si="642"/>
        <v>0</v>
      </c>
      <c r="CD184" s="55">
        <f t="shared" si="642"/>
        <v>0</v>
      </c>
      <c r="CE184" s="55">
        <f t="shared" si="642"/>
        <v>0</v>
      </c>
      <c r="CF184" s="55">
        <f t="shared" si="642"/>
        <v>0</v>
      </c>
      <c r="CG184" s="55">
        <f t="shared" si="642"/>
        <v>0</v>
      </c>
      <c r="CH184" s="55">
        <f t="shared" si="642"/>
        <v>0</v>
      </c>
      <c r="CI184" s="55">
        <f t="shared" si="642"/>
        <v>0</v>
      </c>
      <c r="CJ184" s="55">
        <f t="shared" si="642"/>
        <v>0</v>
      </c>
      <c r="CK184" s="55">
        <f t="shared" si="642"/>
        <v>0</v>
      </c>
      <c r="CL184" s="56">
        <f t="shared" ref="CL184:CQ184" si="643">+R184+X184+AD184+AJ184+AP184+AV184+BB184+BH184+BN184+BT184+BZ184+CF184</f>
        <v>242693488.58000001</v>
      </c>
      <c r="CM184" s="56">
        <f t="shared" si="643"/>
        <v>0</v>
      </c>
      <c r="CN184" s="56">
        <f t="shared" si="643"/>
        <v>0</v>
      </c>
      <c r="CO184" s="56">
        <f t="shared" si="643"/>
        <v>29999215.82</v>
      </c>
      <c r="CP184" s="56">
        <f t="shared" si="643"/>
        <v>0</v>
      </c>
      <c r="CQ184" s="56">
        <f t="shared" si="643"/>
        <v>272692704.39999998</v>
      </c>
      <c r="CR184" s="37">
        <f t="shared" ref="CR184" si="644">+W184</f>
        <v>49338615.68</v>
      </c>
      <c r="CS184" s="39">
        <f t="shared" ref="CS184" si="645">+AC184</f>
        <v>56544053.359999999</v>
      </c>
      <c r="CT184" s="53">
        <f t="shared" ref="CT184" si="646">+AI184</f>
        <v>56814497.700000003</v>
      </c>
      <c r="CU184" s="39">
        <f t="shared" ref="CU184" si="647">+AO184</f>
        <v>56508375.13000001</v>
      </c>
      <c r="CV184" s="39">
        <f t="shared" ref="CV184" si="648">+AU184</f>
        <v>53487162.529999994</v>
      </c>
      <c r="CW184" s="39">
        <f t="shared" ref="CW184" si="649">+BA184</f>
        <v>0</v>
      </c>
      <c r="CX184" s="39">
        <f t="shared" ref="CX184" si="650">+BG184</f>
        <v>0</v>
      </c>
      <c r="CY184" s="39">
        <f t="shared" ref="CY184" si="651">+BM184</f>
        <v>0</v>
      </c>
      <c r="CZ184" s="39">
        <f t="shared" ref="CZ184" si="652">+BS184</f>
        <v>0</v>
      </c>
      <c r="DA184" s="39">
        <f t="shared" ref="DA184" si="653">+BY184</f>
        <v>0</v>
      </c>
      <c r="DB184" s="39">
        <f t="shared" ref="DB184" si="654">+CE184</f>
        <v>0</v>
      </c>
      <c r="DC184" s="39">
        <f t="shared" ref="DC184" si="655">+CK184</f>
        <v>0</v>
      </c>
      <c r="DD184" s="39">
        <f>+HLOOKUP('Reporte Evolución Mensual'!$F$2-2,$CR$2:$DC$251, Input!$DG184, FALSE)</f>
        <v>0</v>
      </c>
      <c r="DE184" s="39">
        <f>+HLOOKUP('Reporte Evolución Mensual'!$F$2-1,$CR$2:$DC$251, Input!$DG184, FALSE)</f>
        <v>0</v>
      </c>
      <c r="DF184" s="39">
        <f>+HLOOKUP('Reporte Evolución Mensual'!$F$2,$CR$2:$DC$251, Input!$DG184, FALSE)</f>
        <v>0</v>
      </c>
      <c r="DG184" s="40">
        <f t="shared" si="479"/>
        <v>184</v>
      </c>
      <c r="DH184" s="39"/>
      <c r="DI184" s="39"/>
      <c r="DJ184" s="39"/>
      <c r="DK184" s="39"/>
      <c r="DL184" s="39"/>
      <c r="DM184" s="39"/>
      <c r="DN184" s="39"/>
      <c r="DO184" s="58"/>
      <c r="DP184" s="58"/>
      <c r="DQ184" s="58"/>
      <c r="DR184" s="58"/>
      <c r="DS184" s="41"/>
      <c r="DT184" s="41"/>
      <c r="DU184" s="41"/>
      <c r="DV184" s="345"/>
    </row>
    <row r="185" spans="1:126" ht="15" customHeight="1" x14ac:dyDescent="0.3">
      <c r="A185" s="1" t="str">
        <f t="shared" si="419"/>
        <v>ADIFSE</v>
      </c>
      <c r="B185" s="1" t="str">
        <f t="shared" si="420"/>
        <v>ADIFSE</v>
      </c>
      <c r="C185" s="1" t="str">
        <f t="shared" si="421"/>
        <v>MAY</v>
      </c>
      <c r="D185" s="41" t="s">
        <v>108</v>
      </c>
      <c r="E185" s="122" t="s">
        <v>333</v>
      </c>
      <c r="F185" s="125"/>
      <c r="G185" s="16"/>
      <c r="H185" s="7"/>
      <c r="I185" s="7"/>
      <c r="J185" s="7"/>
      <c r="K185" s="88"/>
      <c r="L185" s="46"/>
      <c r="M185" s="46"/>
      <c r="N185" s="46"/>
      <c r="O185" s="46"/>
      <c r="P185" s="46"/>
      <c r="Q185" s="47"/>
      <c r="R185" s="46"/>
      <c r="S185" s="46"/>
      <c r="T185" s="46"/>
      <c r="U185" s="46"/>
      <c r="V185" s="46"/>
      <c r="W185" s="48"/>
      <c r="X185" s="46"/>
      <c r="Y185" s="46"/>
      <c r="Z185" s="46"/>
      <c r="AA185" s="46"/>
      <c r="AB185" s="46"/>
      <c r="AC185" s="48"/>
      <c r="AD185" s="46"/>
      <c r="AE185" s="46"/>
      <c r="AF185" s="46"/>
      <c r="AG185" s="46"/>
      <c r="AH185" s="46"/>
      <c r="AI185" s="48"/>
      <c r="AJ185" s="46"/>
      <c r="AK185" s="46"/>
      <c r="AL185" s="46"/>
      <c r="AM185" s="46"/>
      <c r="AN185" s="46"/>
      <c r="AO185" s="48"/>
      <c r="AP185" s="46"/>
      <c r="AQ185" s="46"/>
      <c r="AR185" s="46"/>
      <c r="AS185" s="46"/>
      <c r="AT185" s="46"/>
      <c r="AU185" s="48"/>
      <c r="AV185" s="46"/>
      <c r="AW185" s="46"/>
      <c r="AX185" s="46"/>
      <c r="AY185" s="46"/>
      <c r="AZ185" s="46"/>
      <c r="BA185" s="48"/>
      <c r="BB185" s="46"/>
      <c r="BC185" s="46"/>
      <c r="BD185" s="46"/>
      <c r="BE185" s="46"/>
      <c r="BF185" s="46"/>
      <c r="BG185" s="48"/>
      <c r="BH185" s="46"/>
      <c r="BI185" s="46"/>
      <c r="BJ185" s="46"/>
      <c r="BK185" s="46"/>
      <c r="BL185" s="46"/>
      <c r="BM185" s="48"/>
      <c r="BN185" s="46"/>
      <c r="BO185" s="46"/>
      <c r="BP185" s="46"/>
      <c r="BQ185" s="46"/>
      <c r="BR185" s="46"/>
      <c r="BS185" s="48"/>
      <c r="BT185" s="46"/>
      <c r="BU185" s="46"/>
      <c r="BV185" s="46"/>
      <c r="BW185" s="46"/>
      <c r="BX185" s="46"/>
      <c r="BY185" s="48"/>
      <c r="BZ185" s="46"/>
      <c r="CA185" s="46"/>
      <c r="CB185" s="46"/>
      <c r="CC185" s="46"/>
      <c r="CD185" s="46"/>
      <c r="CE185" s="48"/>
      <c r="CF185" s="46"/>
      <c r="CG185" s="46"/>
      <c r="CH185" s="46"/>
      <c r="CI185" s="46"/>
      <c r="CJ185" s="46"/>
      <c r="CK185" s="57"/>
      <c r="CL185" s="56"/>
      <c r="CM185" s="56"/>
      <c r="CN185" s="56"/>
      <c r="CO185" s="56"/>
      <c r="CP185" s="56"/>
      <c r="CQ185" s="56"/>
      <c r="CR185" s="46"/>
      <c r="CS185" s="39"/>
      <c r="CT185" s="53"/>
      <c r="CU185" s="39"/>
      <c r="CV185" s="39"/>
      <c r="CW185" s="39"/>
      <c r="CX185" s="39"/>
      <c r="CY185" s="39"/>
      <c r="CZ185" s="39"/>
      <c r="DA185" s="39"/>
      <c r="DB185" s="39"/>
      <c r="DC185" s="39"/>
      <c r="DD185" s="39">
        <f>+HLOOKUP('Reporte Evolución Mensual'!$F$2-2,$CR$2:$DC$251, Input!$DG185, FALSE)</f>
        <v>0</v>
      </c>
      <c r="DE185" s="39">
        <f>+HLOOKUP('Reporte Evolución Mensual'!$F$2-1,$CR$2:$DC$251, Input!$DG185, FALSE)</f>
        <v>0</v>
      </c>
      <c r="DF185" s="39">
        <f>+HLOOKUP('Reporte Evolución Mensual'!$F$2,$CR$2:$DC$251, Input!$DG185, FALSE)</f>
        <v>0</v>
      </c>
      <c r="DG185" s="40">
        <f t="shared" si="479"/>
        <v>185</v>
      </c>
      <c r="DH185" s="39"/>
      <c r="DI185" s="39"/>
      <c r="DJ185" s="39"/>
      <c r="DK185" s="39"/>
      <c r="DL185" s="39"/>
      <c r="DM185" s="39"/>
      <c r="DN185" s="39"/>
      <c r="DO185" s="58"/>
      <c r="DP185" s="58"/>
      <c r="DQ185" s="58"/>
      <c r="DR185" s="58"/>
      <c r="DS185" s="41"/>
      <c r="DT185" s="41"/>
      <c r="DU185" s="41"/>
      <c r="DV185" s="345"/>
    </row>
    <row r="186" spans="1:126" ht="15" customHeight="1" x14ac:dyDescent="0.3">
      <c r="A186" s="1" t="str">
        <f t="shared" si="419"/>
        <v>ADIFSE</v>
      </c>
      <c r="B186" s="1" t="str">
        <f t="shared" si="420"/>
        <v>ADIFSE</v>
      </c>
      <c r="C186" s="1" t="str">
        <f t="shared" si="421"/>
        <v>MAY</v>
      </c>
      <c r="D186" s="41" t="s">
        <v>108</v>
      </c>
      <c r="E186" s="124" t="s">
        <v>228</v>
      </c>
      <c r="F186" s="125"/>
      <c r="G186" s="16"/>
      <c r="H186" s="7"/>
      <c r="I186" s="7"/>
      <c r="J186" s="7"/>
      <c r="K186" s="88"/>
      <c r="L186" s="46"/>
      <c r="M186" s="46"/>
      <c r="N186" s="46"/>
      <c r="O186" s="46"/>
      <c r="P186" s="46"/>
      <c r="Q186" s="47"/>
      <c r="R186" s="46"/>
      <c r="S186" s="46"/>
      <c r="T186" s="46"/>
      <c r="U186" s="46"/>
      <c r="V186" s="46"/>
      <c r="W186" s="48"/>
      <c r="X186" s="46"/>
      <c r="Y186" s="46"/>
      <c r="Z186" s="46"/>
      <c r="AA186" s="46"/>
      <c r="AB186" s="46"/>
      <c r="AC186" s="48"/>
      <c r="AD186" s="46"/>
      <c r="AE186" s="46"/>
      <c r="AF186" s="46"/>
      <c r="AG186" s="46"/>
      <c r="AH186" s="46"/>
      <c r="AI186" s="48"/>
      <c r="AJ186" s="46"/>
      <c r="AK186" s="46"/>
      <c r="AL186" s="46"/>
      <c r="AM186" s="46"/>
      <c r="AN186" s="46"/>
      <c r="AO186" s="48"/>
      <c r="AP186" s="46"/>
      <c r="AQ186" s="46"/>
      <c r="AR186" s="46"/>
      <c r="AS186" s="46"/>
      <c r="AT186" s="46"/>
      <c r="AU186" s="48"/>
      <c r="AV186" s="46"/>
      <c r="AW186" s="46"/>
      <c r="AX186" s="46"/>
      <c r="AY186" s="46"/>
      <c r="AZ186" s="46"/>
      <c r="BA186" s="48"/>
      <c r="BB186" s="46"/>
      <c r="BC186" s="46"/>
      <c r="BD186" s="46"/>
      <c r="BE186" s="46"/>
      <c r="BF186" s="46"/>
      <c r="BG186" s="48"/>
      <c r="BH186" s="46"/>
      <c r="BI186" s="46"/>
      <c r="BJ186" s="46"/>
      <c r="BK186" s="46"/>
      <c r="BL186" s="46"/>
      <c r="BM186" s="48"/>
      <c r="BN186" s="46"/>
      <c r="BO186" s="46"/>
      <c r="BP186" s="46"/>
      <c r="BQ186" s="46"/>
      <c r="BR186" s="46"/>
      <c r="BS186" s="48"/>
      <c r="BT186" s="46"/>
      <c r="BU186" s="46"/>
      <c r="BV186" s="46"/>
      <c r="BW186" s="46"/>
      <c r="BX186" s="46"/>
      <c r="BY186" s="48"/>
      <c r="BZ186" s="46"/>
      <c r="CA186" s="46"/>
      <c r="CB186" s="46"/>
      <c r="CC186" s="46"/>
      <c r="CD186" s="46"/>
      <c r="CE186" s="48"/>
      <c r="CF186" s="46"/>
      <c r="CG186" s="46"/>
      <c r="CH186" s="46"/>
      <c r="CI186" s="46"/>
      <c r="CJ186" s="46"/>
      <c r="CK186" s="57"/>
      <c r="CL186" s="56"/>
      <c r="CM186" s="56"/>
      <c r="CN186" s="56"/>
      <c r="CO186" s="56"/>
      <c r="CP186" s="56"/>
      <c r="CQ186" s="56"/>
      <c r="CR186" s="46"/>
      <c r="CS186" s="39"/>
      <c r="CT186" s="53"/>
      <c r="CU186" s="39"/>
      <c r="CV186" s="39"/>
      <c r="CW186" s="39"/>
      <c r="CX186" s="39"/>
      <c r="CY186" s="39"/>
      <c r="CZ186" s="39"/>
      <c r="DA186" s="39"/>
      <c r="DB186" s="39"/>
      <c r="DC186" s="39"/>
      <c r="DD186" s="39">
        <f>+HLOOKUP('Reporte Evolución Mensual'!$F$2-2,$CR$2:$DC$251, Input!$DG186, FALSE)</f>
        <v>728413654.39999998</v>
      </c>
      <c r="DE186" s="39">
        <f>+HLOOKUP('Reporte Evolución Mensual'!$F$2-1,$CR$2:$DC$251, Input!$DG186, FALSE)</f>
        <v>749074322.60570002</v>
      </c>
      <c r="DF186" s="39">
        <f>+HLOOKUP('Reporte Evolución Mensual'!$F$2,$CR$2:$DC$251, Input!$DG186, FALSE)</f>
        <v>799653349.12810004</v>
      </c>
      <c r="DG186" s="40">
        <f t="shared" si="479"/>
        <v>186</v>
      </c>
      <c r="DH186" s="39"/>
      <c r="DI186" s="39"/>
      <c r="DJ186" s="39"/>
      <c r="DK186" s="39"/>
      <c r="DL186" s="39"/>
      <c r="DM186" s="39"/>
      <c r="DN186" s="39"/>
      <c r="DO186" s="58"/>
      <c r="DP186" s="58"/>
      <c r="DQ186" s="58"/>
      <c r="DR186" s="58"/>
      <c r="DS186" s="41"/>
      <c r="DT186" s="41"/>
      <c r="DU186" s="41"/>
      <c r="DV186" s="345"/>
    </row>
    <row r="187" spans="1:126" ht="15" customHeight="1" x14ac:dyDescent="0.3">
      <c r="A187" s="1" t="str">
        <f t="shared" si="419"/>
        <v>ADIFSE</v>
      </c>
      <c r="B187" s="1" t="str">
        <f t="shared" si="420"/>
        <v>ADIFSE</v>
      </c>
      <c r="C187" s="1" t="str">
        <f t="shared" si="421"/>
        <v>MAY</v>
      </c>
      <c r="D187" s="1" t="s">
        <v>163</v>
      </c>
      <c r="E187" s="123" t="str">
        <f>CONCATENATE(H187," - ",I187)</f>
        <v>Bienes de Uso - Obras</v>
      </c>
      <c r="F187" s="120" t="s">
        <v>229</v>
      </c>
      <c r="G187" s="16" t="s">
        <v>230</v>
      </c>
      <c r="H187" s="7" t="s">
        <v>228</v>
      </c>
      <c r="I187" s="7" t="s">
        <v>231</v>
      </c>
      <c r="J187" s="32" t="s">
        <v>289</v>
      </c>
      <c r="K187" s="38"/>
      <c r="L187" s="51"/>
      <c r="M187" s="51"/>
      <c r="N187" s="51"/>
      <c r="O187" s="51"/>
      <c r="P187" s="51"/>
      <c r="Q187" s="35">
        <f t="shared" ref="Q187:Q189" si="656">SUM(L187:P187)</f>
        <v>0</v>
      </c>
      <c r="R187" s="51">
        <f>314068392.14-V187</f>
        <v>238339392.13999999</v>
      </c>
      <c r="S187" s="51"/>
      <c r="T187" s="51"/>
      <c r="U187" s="51"/>
      <c r="V187" s="452">
        <v>75729000</v>
      </c>
      <c r="W187" s="52">
        <f t="shared" ref="W187:W189" si="657">SUM(R187:V187)</f>
        <v>314068392.13999999</v>
      </c>
      <c r="X187" s="448">
        <v>444976437.31999999</v>
      </c>
      <c r="Y187" s="51"/>
      <c r="Z187" s="51"/>
      <c r="AA187" s="51">
        <f>+AA146</f>
        <v>200000000</v>
      </c>
      <c r="AB187" s="452">
        <v>70308000</v>
      </c>
      <c r="AC187" s="52">
        <f t="shared" ref="AC187:AC189" si="658">SUM(X187:AB187)</f>
        <v>715284437.31999993</v>
      </c>
      <c r="AD187" s="51">
        <v>444788654.39999998</v>
      </c>
      <c r="AE187" s="51"/>
      <c r="AF187" s="51"/>
      <c r="AG187" s="51">
        <f>+AG146</f>
        <v>200000000</v>
      </c>
      <c r="AH187" s="452">
        <v>83625000</v>
      </c>
      <c r="AI187" s="52">
        <f t="shared" ref="AI187:AI189" si="659">SUM(AD187:AH187)</f>
        <v>728413654.39999998</v>
      </c>
      <c r="AJ187" s="51">
        <f>599074322.6057-AN187</f>
        <v>527833322.60570002</v>
      </c>
      <c r="AK187" s="51"/>
      <c r="AL187" s="51"/>
      <c r="AM187" s="51">
        <f>+AM146</f>
        <v>150000000</v>
      </c>
      <c r="AN187" s="452">
        <v>71241000</v>
      </c>
      <c r="AO187" s="52">
        <f t="shared" ref="AO187:AO189" si="660">SUM(AJ187:AN187)</f>
        <v>749074322.60570002</v>
      </c>
      <c r="AP187" s="51">
        <f>799653349.1281-AS187-AT187</f>
        <v>577153349.12810004</v>
      </c>
      <c r="AQ187" s="51"/>
      <c r="AR187" s="51"/>
      <c r="AS187" s="51">
        <v>150000000</v>
      </c>
      <c r="AT187" s="452">
        <v>72500000</v>
      </c>
      <c r="AU187" s="52">
        <f t="shared" ref="AU187:AU189" si="661">SUM(AP187:AT187)</f>
        <v>799653349.12810004</v>
      </c>
      <c r="AV187" s="51"/>
      <c r="AW187" s="51"/>
      <c r="AX187" s="51"/>
      <c r="AY187" s="51"/>
      <c r="AZ187" s="51"/>
      <c r="BA187" s="52">
        <f t="shared" ref="BA187:BA189" si="662">SUM(AV187:AZ187)</f>
        <v>0</v>
      </c>
      <c r="BB187" s="51"/>
      <c r="BC187" s="51"/>
      <c r="BD187" s="51"/>
      <c r="BE187" s="51"/>
      <c r="BF187" s="51"/>
      <c r="BG187" s="52">
        <f t="shared" ref="BG187:BG189" si="663">SUM(BB187:BF187)</f>
        <v>0</v>
      </c>
      <c r="BH187" s="51"/>
      <c r="BI187" s="51"/>
      <c r="BJ187" s="51"/>
      <c r="BK187" s="51"/>
      <c r="BL187" s="51"/>
      <c r="BM187" s="52">
        <f t="shared" ref="BM187:BM189" si="664">SUM(BH187:BL187)</f>
        <v>0</v>
      </c>
      <c r="BN187" s="51"/>
      <c r="BO187" s="51"/>
      <c r="BP187" s="51"/>
      <c r="BQ187" s="51"/>
      <c r="BR187" s="51"/>
      <c r="BS187" s="52">
        <f t="shared" ref="BS187:BS189" si="665">SUM(BN187:BR187)</f>
        <v>0</v>
      </c>
      <c r="BT187" s="51"/>
      <c r="BU187" s="51"/>
      <c r="BV187" s="51"/>
      <c r="BW187" s="51"/>
      <c r="BX187" s="51"/>
      <c r="BY187" s="52">
        <f t="shared" ref="BY187:BY189" si="666">SUM(BT187:BX187)</f>
        <v>0</v>
      </c>
      <c r="BZ187" s="51"/>
      <c r="CA187" s="51"/>
      <c r="CB187" s="51"/>
      <c r="CC187" s="51"/>
      <c r="CD187" s="51"/>
      <c r="CE187" s="52">
        <f t="shared" ref="CE187:CE189" si="667">SUM(BZ187:CD187)</f>
        <v>0</v>
      </c>
      <c r="CF187" s="51"/>
      <c r="CG187" s="51"/>
      <c r="CH187" s="51"/>
      <c r="CI187" s="51"/>
      <c r="CJ187" s="51"/>
      <c r="CK187" s="68">
        <f t="shared" ref="CK187:CK189" si="668">SUM(CF187:CJ187)</f>
        <v>0</v>
      </c>
      <c r="CL187" s="67">
        <f t="shared" ref="CL187:CQ190" si="669">+R187+X187+AD187+AJ187+AP187+AV187+BB187+BH187+BN187+BT187+BZ187+CF187</f>
        <v>2233091155.5938001</v>
      </c>
      <c r="CM187" s="67">
        <f t="shared" si="669"/>
        <v>0</v>
      </c>
      <c r="CN187" s="67">
        <f t="shared" si="669"/>
        <v>0</v>
      </c>
      <c r="CO187" s="67">
        <f t="shared" si="669"/>
        <v>700000000</v>
      </c>
      <c r="CP187" s="67">
        <f t="shared" si="669"/>
        <v>373403000</v>
      </c>
      <c r="CQ187" s="67">
        <f t="shared" si="669"/>
        <v>3306494155.5938001</v>
      </c>
      <c r="CR187" s="37">
        <f t="shared" ref="CR187:CR190" si="670">+W187</f>
        <v>314068392.13999999</v>
      </c>
      <c r="CS187" s="39">
        <f t="shared" ref="CS187:CS190" si="671">+AC187</f>
        <v>715284437.31999993</v>
      </c>
      <c r="CT187" s="53">
        <f t="shared" ref="CT187:CT190" si="672">+AI187</f>
        <v>728413654.39999998</v>
      </c>
      <c r="CU187" s="39">
        <f t="shared" ref="CU187:CU190" si="673">+AO187</f>
        <v>749074322.60570002</v>
      </c>
      <c r="CV187" s="39">
        <f t="shared" ref="CV187:CV190" si="674">+AU187</f>
        <v>799653349.12810004</v>
      </c>
      <c r="CW187" s="39">
        <f t="shared" ref="CW187:CW190" si="675">+BA187</f>
        <v>0</v>
      </c>
      <c r="CX187" s="39">
        <f t="shared" ref="CX187:CX190" si="676">+BG187</f>
        <v>0</v>
      </c>
      <c r="CY187" s="39">
        <f t="shared" ref="CY187:CY190" si="677">+BM187</f>
        <v>0</v>
      </c>
      <c r="CZ187" s="39">
        <f t="shared" ref="CZ187:CZ190" si="678">+BS187</f>
        <v>0</v>
      </c>
      <c r="DA187" s="39">
        <f t="shared" ref="DA187:DA190" si="679">+BY187</f>
        <v>0</v>
      </c>
      <c r="DB187" s="39">
        <f t="shared" ref="DB187:DB190" si="680">+CE187</f>
        <v>0</v>
      </c>
      <c r="DC187" s="39">
        <f t="shared" ref="DC187:DC190" si="681">+CK187</f>
        <v>0</v>
      </c>
      <c r="DD187" s="39">
        <f>+HLOOKUP('Reporte Evolución Mensual'!$F$2-2,$CR$2:$DC$251, Input!$DG187, FALSE)</f>
        <v>0</v>
      </c>
      <c r="DE187" s="39">
        <f>+HLOOKUP('Reporte Evolución Mensual'!$F$2-1,$CR$2:$DC$251, Input!$DG187, FALSE)</f>
        <v>0</v>
      </c>
      <c r="DF187" s="39">
        <f>+HLOOKUP('Reporte Evolución Mensual'!$F$2,$CR$2:$DC$251, Input!$DG187, FALSE)</f>
        <v>0</v>
      </c>
      <c r="DG187" s="40">
        <f t="shared" si="479"/>
        <v>187</v>
      </c>
      <c r="DH187" s="39"/>
      <c r="DI187" s="39"/>
      <c r="DJ187" s="39"/>
      <c r="DK187" s="39"/>
      <c r="DL187" s="39"/>
      <c r="DM187" s="39"/>
      <c r="DN187" s="39"/>
      <c r="DO187" s="58"/>
      <c r="DP187" s="58"/>
      <c r="DQ187" s="58"/>
      <c r="DR187" s="58"/>
      <c r="DS187" s="1"/>
      <c r="DT187" s="1"/>
      <c r="DU187" s="1"/>
      <c r="DV187" s="345"/>
    </row>
    <row r="188" spans="1:126" ht="15" customHeight="1" x14ac:dyDescent="0.3">
      <c r="A188" s="1" t="str">
        <f t="shared" si="419"/>
        <v>ADIFSE</v>
      </c>
      <c r="B188" s="1" t="str">
        <f t="shared" si="420"/>
        <v>ADIFSE</v>
      </c>
      <c r="C188" s="1" t="str">
        <f t="shared" si="421"/>
        <v>MAY</v>
      </c>
      <c r="D188" s="1" t="s">
        <v>163</v>
      </c>
      <c r="E188" s="123" t="str">
        <f>CONCATENATE(H188," - ",I188)</f>
        <v>Bienes de Uso - Maquinarias</v>
      </c>
      <c r="F188" s="120">
        <v>43</v>
      </c>
      <c r="G188" s="16" t="s">
        <v>230</v>
      </c>
      <c r="H188" s="7" t="s">
        <v>228</v>
      </c>
      <c r="I188" s="7" t="s">
        <v>232</v>
      </c>
      <c r="J188" s="32" t="s">
        <v>289</v>
      </c>
      <c r="K188" s="38"/>
      <c r="L188" s="51"/>
      <c r="M188" s="51"/>
      <c r="N188" s="51"/>
      <c r="O188" s="51"/>
      <c r="P188" s="51"/>
      <c r="Q188" s="35">
        <f t="shared" si="656"/>
        <v>0</v>
      </c>
      <c r="R188" s="51">
        <f>+L188/12</f>
        <v>0</v>
      </c>
      <c r="S188" s="51"/>
      <c r="T188" s="51"/>
      <c r="U188" s="51"/>
      <c r="V188" s="51"/>
      <c r="W188" s="52">
        <f t="shared" si="657"/>
        <v>0</v>
      </c>
      <c r="X188" s="51"/>
      <c r="Y188" s="51"/>
      <c r="Z188" s="51"/>
      <c r="AA188" s="51"/>
      <c r="AB188" s="51"/>
      <c r="AC188" s="52">
        <f t="shared" si="658"/>
        <v>0</v>
      </c>
      <c r="AD188" s="51"/>
      <c r="AE188" s="51"/>
      <c r="AF188" s="51"/>
      <c r="AG188" s="51"/>
      <c r="AH188" s="51"/>
      <c r="AI188" s="52">
        <f t="shared" si="659"/>
        <v>0</v>
      </c>
      <c r="AJ188" s="51"/>
      <c r="AK188" s="51"/>
      <c r="AL188" s="51"/>
      <c r="AM188" s="51"/>
      <c r="AN188" s="51"/>
      <c r="AO188" s="52">
        <f t="shared" si="660"/>
        <v>0</v>
      </c>
      <c r="AP188" s="51"/>
      <c r="AQ188" s="51"/>
      <c r="AR188" s="51"/>
      <c r="AS188" s="51"/>
      <c r="AT188" s="51"/>
      <c r="AU188" s="52">
        <f t="shared" si="661"/>
        <v>0</v>
      </c>
      <c r="AV188" s="51"/>
      <c r="AW188" s="51"/>
      <c r="AX188" s="51"/>
      <c r="AY188" s="51"/>
      <c r="AZ188" s="51"/>
      <c r="BA188" s="52">
        <f t="shared" si="662"/>
        <v>0</v>
      </c>
      <c r="BB188" s="51"/>
      <c r="BC188" s="51"/>
      <c r="BD188" s="51"/>
      <c r="BE188" s="51"/>
      <c r="BF188" s="51"/>
      <c r="BG188" s="52">
        <f t="shared" si="663"/>
        <v>0</v>
      </c>
      <c r="BH188" s="51"/>
      <c r="BI188" s="51"/>
      <c r="BJ188" s="51"/>
      <c r="BK188" s="51"/>
      <c r="BL188" s="51"/>
      <c r="BM188" s="52">
        <f t="shared" si="664"/>
        <v>0</v>
      </c>
      <c r="BN188" s="51"/>
      <c r="BO188" s="51"/>
      <c r="BP188" s="51"/>
      <c r="BQ188" s="51"/>
      <c r="BR188" s="51"/>
      <c r="BS188" s="52">
        <f t="shared" si="665"/>
        <v>0</v>
      </c>
      <c r="BT188" s="51"/>
      <c r="BU188" s="51"/>
      <c r="BV188" s="51"/>
      <c r="BW188" s="51"/>
      <c r="BX188" s="51"/>
      <c r="BY188" s="52">
        <f t="shared" si="666"/>
        <v>0</v>
      </c>
      <c r="BZ188" s="51"/>
      <c r="CA188" s="51"/>
      <c r="CB188" s="51"/>
      <c r="CC188" s="51"/>
      <c r="CD188" s="51"/>
      <c r="CE188" s="52">
        <f t="shared" si="667"/>
        <v>0</v>
      </c>
      <c r="CF188" s="51"/>
      <c r="CG188" s="51"/>
      <c r="CH188" s="51"/>
      <c r="CI188" s="51"/>
      <c r="CJ188" s="51"/>
      <c r="CK188" s="68">
        <f t="shared" si="668"/>
        <v>0</v>
      </c>
      <c r="CL188" s="67">
        <f t="shared" si="669"/>
        <v>0</v>
      </c>
      <c r="CM188" s="67">
        <f t="shared" si="669"/>
        <v>0</v>
      </c>
      <c r="CN188" s="67">
        <f t="shared" si="669"/>
        <v>0</v>
      </c>
      <c r="CO188" s="67">
        <f t="shared" si="669"/>
        <v>0</v>
      </c>
      <c r="CP188" s="67">
        <f t="shared" si="669"/>
        <v>0</v>
      </c>
      <c r="CQ188" s="67">
        <f t="shared" si="669"/>
        <v>0</v>
      </c>
      <c r="CR188" s="37">
        <f t="shared" si="670"/>
        <v>0</v>
      </c>
      <c r="CS188" s="39">
        <f t="shared" si="671"/>
        <v>0</v>
      </c>
      <c r="CT188" s="53">
        <f t="shared" si="672"/>
        <v>0</v>
      </c>
      <c r="CU188" s="39">
        <f t="shared" si="673"/>
        <v>0</v>
      </c>
      <c r="CV188" s="39">
        <f t="shared" si="674"/>
        <v>0</v>
      </c>
      <c r="CW188" s="39">
        <f t="shared" si="675"/>
        <v>0</v>
      </c>
      <c r="CX188" s="39">
        <f t="shared" si="676"/>
        <v>0</v>
      </c>
      <c r="CY188" s="39">
        <f t="shared" si="677"/>
        <v>0</v>
      </c>
      <c r="CZ188" s="39">
        <f t="shared" si="678"/>
        <v>0</v>
      </c>
      <c r="DA188" s="39">
        <f t="shared" si="679"/>
        <v>0</v>
      </c>
      <c r="DB188" s="39">
        <f t="shared" si="680"/>
        <v>0</v>
      </c>
      <c r="DC188" s="39">
        <f t="shared" si="681"/>
        <v>0</v>
      </c>
      <c r="DD188" s="39">
        <f>+HLOOKUP('Reporte Evolución Mensual'!$F$2-2,$CR$2:$DC$251, Input!$DG188, FALSE)</f>
        <v>0</v>
      </c>
      <c r="DE188" s="39">
        <f>+HLOOKUP('Reporte Evolución Mensual'!$F$2-1,$CR$2:$DC$251, Input!$DG188, FALSE)</f>
        <v>0</v>
      </c>
      <c r="DF188" s="39">
        <f>+HLOOKUP('Reporte Evolución Mensual'!$F$2,$CR$2:$DC$251, Input!$DG188, FALSE)</f>
        <v>0</v>
      </c>
      <c r="DG188" s="40">
        <f t="shared" si="479"/>
        <v>188</v>
      </c>
      <c r="DH188" s="39"/>
      <c r="DI188" s="39"/>
      <c r="DJ188" s="39"/>
      <c r="DK188" s="39"/>
      <c r="DL188" s="39"/>
      <c r="DM188" s="39"/>
      <c r="DN188" s="39"/>
      <c r="DO188" s="58"/>
      <c r="DP188" s="58"/>
      <c r="DQ188" s="58"/>
      <c r="DR188" s="58"/>
      <c r="DS188" s="1"/>
      <c r="DT188" s="1"/>
      <c r="DU188" s="1"/>
      <c r="DV188" s="345" t="s">
        <v>163</v>
      </c>
    </row>
    <row r="189" spans="1:126" ht="15" customHeight="1" x14ac:dyDescent="0.3">
      <c r="A189" s="1" t="str">
        <f t="shared" si="419"/>
        <v>ADIFSE</v>
      </c>
      <c r="B189" s="1" t="str">
        <f t="shared" si="420"/>
        <v>ADIFSE</v>
      </c>
      <c r="C189" s="1" t="str">
        <f t="shared" si="421"/>
        <v>MAY</v>
      </c>
      <c r="D189" s="1" t="s">
        <v>163</v>
      </c>
      <c r="E189" s="123" t="str">
        <f>CONCATENATE(H189," - ",I189)</f>
        <v>Bienes de Uso - Otros Bienes de Uso/Gs de Capital</v>
      </c>
      <c r="F189" s="120" t="s">
        <v>233</v>
      </c>
      <c r="G189" s="16" t="s">
        <v>230</v>
      </c>
      <c r="H189" s="7" t="s">
        <v>228</v>
      </c>
      <c r="I189" s="7" t="s">
        <v>234</v>
      </c>
      <c r="J189" s="32" t="s">
        <v>289</v>
      </c>
      <c r="K189" s="38"/>
      <c r="L189" s="51"/>
      <c r="M189" s="51"/>
      <c r="N189" s="51"/>
      <c r="O189" s="51"/>
      <c r="P189" s="51"/>
      <c r="Q189" s="35">
        <f t="shared" si="656"/>
        <v>0</v>
      </c>
      <c r="R189" s="51">
        <f>+L189/15</f>
        <v>0</v>
      </c>
      <c r="S189" s="51"/>
      <c r="T189" s="51"/>
      <c r="U189" s="51"/>
      <c r="V189" s="51"/>
      <c r="W189" s="52">
        <f t="shared" si="657"/>
        <v>0</v>
      </c>
      <c r="X189" s="51"/>
      <c r="Y189" s="51"/>
      <c r="Z189" s="51"/>
      <c r="AA189" s="51"/>
      <c r="AB189" s="51"/>
      <c r="AC189" s="52">
        <f t="shared" si="658"/>
        <v>0</v>
      </c>
      <c r="AD189" s="51"/>
      <c r="AE189" s="51"/>
      <c r="AF189" s="51"/>
      <c r="AG189" s="51"/>
      <c r="AH189" s="51"/>
      <c r="AI189" s="52">
        <f t="shared" si="659"/>
        <v>0</v>
      </c>
      <c r="AJ189" s="51"/>
      <c r="AK189" s="51"/>
      <c r="AL189" s="51"/>
      <c r="AM189" s="51"/>
      <c r="AN189" s="51"/>
      <c r="AO189" s="52">
        <f t="shared" si="660"/>
        <v>0</v>
      </c>
      <c r="AP189" s="51"/>
      <c r="AQ189" s="51"/>
      <c r="AR189" s="51"/>
      <c r="AS189" s="51"/>
      <c r="AT189" s="51"/>
      <c r="AU189" s="52">
        <f t="shared" si="661"/>
        <v>0</v>
      </c>
      <c r="AV189" s="51"/>
      <c r="AW189" s="51"/>
      <c r="AX189" s="51"/>
      <c r="AY189" s="51"/>
      <c r="AZ189" s="51"/>
      <c r="BA189" s="52">
        <f t="shared" si="662"/>
        <v>0</v>
      </c>
      <c r="BB189" s="51"/>
      <c r="BC189" s="51"/>
      <c r="BD189" s="51"/>
      <c r="BE189" s="51"/>
      <c r="BF189" s="51"/>
      <c r="BG189" s="52">
        <f t="shared" si="663"/>
        <v>0</v>
      </c>
      <c r="BH189" s="51"/>
      <c r="BI189" s="51"/>
      <c r="BJ189" s="51"/>
      <c r="BK189" s="51"/>
      <c r="BL189" s="51"/>
      <c r="BM189" s="52">
        <f t="shared" si="664"/>
        <v>0</v>
      </c>
      <c r="BN189" s="51"/>
      <c r="BO189" s="51"/>
      <c r="BP189" s="51"/>
      <c r="BQ189" s="51"/>
      <c r="BR189" s="51"/>
      <c r="BS189" s="52">
        <f t="shared" si="665"/>
        <v>0</v>
      </c>
      <c r="BT189" s="51"/>
      <c r="BU189" s="51"/>
      <c r="BV189" s="51"/>
      <c r="BW189" s="51"/>
      <c r="BX189" s="51"/>
      <c r="BY189" s="52">
        <f t="shared" si="666"/>
        <v>0</v>
      </c>
      <c r="BZ189" s="51"/>
      <c r="CA189" s="51"/>
      <c r="CB189" s="51"/>
      <c r="CC189" s="51"/>
      <c r="CD189" s="51"/>
      <c r="CE189" s="52">
        <f t="shared" si="667"/>
        <v>0</v>
      </c>
      <c r="CF189" s="51"/>
      <c r="CG189" s="51"/>
      <c r="CH189" s="51"/>
      <c r="CI189" s="51"/>
      <c r="CJ189" s="51"/>
      <c r="CK189" s="68">
        <f t="shared" si="668"/>
        <v>0</v>
      </c>
      <c r="CL189" s="67">
        <f t="shared" si="669"/>
        <v>0</v>
      </c>
      <c r="CM189" s="67">
        <f t="shared" si="669"/>
        <v>0</v>
      </c>
      <c r="CN189" s="67">
        <f t="shared" si="669"/>
        <v>0</v>
      </c>
      <c r="CO189" s="67">
        <f t="shared" si="669"/>
        <v>0</v>
      </c>
      <c r="CP189" s="67">
        <f t="shared" si="669"/>
        <v>0</v>
      </c>
      <c r="CQ189" s="67">
        <f t="shared" si="669"/>
        <v>0</v>
      </c>
      <c r="CR189" s="37">
        <f t="shared" si="670"/>
        <v>0</v>
      </c>
      <c r="CS189" s="39">
        <f t="shared" si="671"/>
        <v>0</v>
      </c>
      <c r="CT189" s="53">
        <f t="shared" si="672"/>
        <v>0</v>
      </c>
      <c r="CU189" s="39">
        <f t="shared" si="673"/>
        <v>0</v>
      </c>
      <c r="CV189" s="39">
        <f t="shared" si="674"/>
        <v>0</v>
      </c>
      <c r="CW189" s="39">
        <f t="shared" si="675"/>
        <v>0</v>
      </c>
      <c r="CX189" s="39">
        <f t="shared" si="676"/>
        <v>0</v>
      </c>
      <c r="CY189" s="39">
        <f t="shared" si="677"/>
        <v>0</v>
      </c>
      <c r="CZ189" s="39">
        <f t="shared" si="678"/>
        <v>0</v>
      </c>
      <c r="DA189" s="39">
        <f t="shared" si="679"/>
        <v>0</v>
      </c>
      <c r="DB189" s="39">
        <f t="shared" si="680"/>
        <v>0</v>
      </c>
      <c r="DC189" s="39">
        <f t="shared" si="681"/>
        <v>0</v>
      </c>
      <c r="DD189" s="39">
        <f>+HLOOKUP('Reporte Evolución Mensual'!$F$2-2,$CR$2:$DC$251, Input!$DG189, FALSE)</f>
        <v>728413654.39999998</v>
      </c>
      <c r="DE189" s="39">
        <f>+HLOOKUP('Reporte Evolución Mensual'!$F$2-1,$CR$2:$DC$251, Input!$DG189, FALSE)</f>
        <v>749074322.60570002</v>
      </c>
      <c r="DF189" s="39">
        <f>+HLOOKUP('Reporte Evolución Mensual'!$F$2,$CR$2:$DC$251, Input!$DG189, FALSE)</f>
        <v>799653349.12810004</v>
      </c>
      <c r="DG189" s="40">
        <f t="shared" si="479"/>
        <v>189</v>
      </c>
      <c r="DH189" s="39"/>
      <c r="DI189" s="39"/>
      <c r="DJ189" s="39"/>
      <c r="DK189" s="39"/>
      <c r="DL189" s="39"/>
      <c r="DM189" s="39"/>
      <c r="DN189" s="39"/>
      <c r="DO189" s="58"/>
      <c r="DP189" s="58"/>
      <c r="DQ189" s="58"/>
      <c r="DR189" s="58"/>
      <c r="DS189" s="1"/>
      <c r="DT189" s="1"/>
      <c r="DU189" s="1"/>
      <c r="DV189" s="345" t="s">
        <v>163</v>
      </c>
    </row>
    <row r="190" spans="1:126" ht="15" customHeight="1" x14ac:dyDescent="0.3">
      <c r="A190" s="1" t="str">
        <f t="shared" si="419"/>
        <v>ADIFSE</v>
      </c>
      <c r="B190" s="1" t="str">
        <f t="shared" si="420"/>
        <v>ADIFSE</v>
      </c>
      <c r="C190" s="1" t="str">
        <f t="shared" si="421"/>
        <v>MAY</v>
      </c>
      <c r="D190" s="41" t="s">
        <v>108</v>
      </c>
      <c r="E190" s="122" t="str">
        <f>CONCATENATE(H190," - ",I190)</f>
        <v>Bienes de Uso - Total</v>
      </c>
      <c r="F190" s="125">
        <v>4</v>
      </c>
      <c r="G190" s="16" t="s">
        <v>230</v>
      </c>
      <c r="H190" s="7" t="s">
        <v>228</v>
      </c>
      <c r="I190" s="7" t="s">
        <v>173</v>
      </c>
      <c r="J190" s="32" t="s">
        <v>289</v>
      </c>
      <c r="K190" s="46"/>
      <c r="L190" s="46">
        <f t="shared" ref="L190:BV190" si="682">SUM(L187:L189)</f>
        <v>0</v>
      </c>
      <c r="M190" s="46">
        <f t="shared" si="682"/>
        <v>0</v>
      </c>
      <c r="N190" s="46">
        <f t="shared" si="682"/>
        <v>0</v>
      </c>
      <c r="O190" s="46">
        <f t="shared" si="682"/>
        <v>0</v>
      </c>
      <c r="P190" s="46">
        <f t="shared" si="682"/>
        <v>0</v>
      </c>
      <c r="Q190" s="56">
        <f t="shared" si="682"/>
        <v>0</v>
      </c>
      <c r="R190" s="46">
        <f t="shared" si="682"/>
        <v>238339392.13999999</v>
      </c>
      <c r="S190" s="46">
        <f t="shared" si="682"/>
        <v>0</v>
      </c>
      <c r="T190" s="46">
        <f t="shared" si="682"/>
        <v>0</v>
      </c>
      <c r="U190" s="46">
        <f t="shared" si="682"/>
        <v>0</v>
      </c>
      <c r="V190" s="46">
        <f t="shared" si="682"/>
        <v>75729000</v>
      </c>
      <c r="W190" s="57">
        <f t="shared" si="682"/>
        <v>314068392.13999999</v>
      </c>
      <c r="X190" s="46">
        <f t="shared" si="682"/>
        <v>444976437.31999999</v>
      </c>
      <c r="Y190" s="46">
        <f t="shared" si="682"/>
        <v>0</v>
      </c>
      <c r="Z190" s="46">
        <f t="shared" si="682"/>
        <v>0</v>
      </c>
      <c r="AA190" s="46">
        <f t="shared" si="682"/>
        <v>200000000</v>
      </c>
      <c r="AB190" s="46">
        <f t="shared" si="682"/>
        <v>70308000</v>
      </c>
      <c r="AC190" s="57">
        <f t="shared" si="682"/>
        <v>715284437.31999993</v>
      </c>
      <c r="AD190" s="46">
        <f t="shared" si="682"/>
        <v>444788654.39999998</v>
      </c>
      <c r="AE190" s="46">
        <f t="shared" si="682"/>
        <v>0</v>
      </c>
      <c r="AF190" s="46">
        <f t="shared" si="682"/>
        <v>0</v>
      </c>
      <c r="AG190" s="46">
        <f t="shared" si="682"/>
        <v>200000000</v>
      </c>
      <c r="AH190" s="46">
        <f t="shared" si="682"/>
        <v>83625000</v>
      </c>
      <c r="AI190" s="57">
        <f t="shared" si="682"/>
        <v>728413654.39999998</v>
      </c>
      <c r="AJ190" s="46">
        <f t="shared" si="682"/>
        <v>527833322.60570002</v>
      </c>
      <c r="AK190" s="46">
        <f t="shared" si="682"/>
        <v>0</v>
      </c>
      <c r="AL190" s="46">
        <f t="shared" si="682"/>
        <v>0</v>
      </c>
      <c r="AM190" s="46">
        <f t="shared" si="682"/>
        <v>150000000</v>
      </c>
      <c r="AN190" s="46">
        <f t="shared" si="682"/>
        <v>71241000</v>
      </c>
      <c r="AO190" s="57">
        <f t="shared" si="682"/>
        <v>749074322.60570002</v>
      </c>
      <c r="AP190" s="46">
        <f t="shared" si="682"/>
        <v>577153349.12810004</v>
      </c>
      <c r="AQ190" s="46">
        <f t="shared" si="682"/>
        <v>0</v>
      </c>
      <c r="AR190" s="46">
        <f t="shared" si="682"/>
        <v>0</v>
      </c>
      <c r="AS190" s="46">
        <f t="shared" si="682"/>
        <v>150000000</v>
      </c>
      <c r="AT190" s="46">
        <f t="shared" si="682"/>
        <v>72500000</v>
      </c>
      <c r="AU190" s="57">
        <f t="shared" si="682"/>
        <v>799653349.12810004</v>
      </c>
      <c r="AV190" s="46">
        <f t="shared" si="682"/>
        <v>0</v>
      </c>
      <c r="AW190" s="46">
        <f t="shared" si="682"/>
        <v>0</v>
      </c>
      <c r="AX190" s="46">
        <f t="shared" si="682"/>
        <v>0</v>
      </c>
      <c r="AY190" s="46">
        <f t="shared" si="682"/>
        <v>0</v>
      </c>
      <c r="AZ190" s="46">
        <f t="shared" si="682"/>
        <v>0</v>
      </c>
      <c r="BA190" s="57">
        <f t="shared" si="682"/>
        <v>0</v>
      </c>
      <c r="BB190" s="46">
        <f t="shared" si="682"/>
        <v>0</v>
      </c>
      <c r="BC190" s="46">
        <f t="shared" si="682"/>
        <v>0</v>
      </c>
      <c r="BD190" s="46">
        <f t="shared" si="682"/>
        <v>0</v>
      </c>
      <c r="BE190" s="46">
        <f t="shared" si="682"/>
        <v>0</v>
      </c>
      <c r="BF190" s="46">
        <f t="shared" si="682"/>
        <v>0</v>
      </c>
      <c r="BG190" s="57">
        <f t="shared" si="682"/>
        <v>0</v>
      </c>
      <c r="BH190" s="46">
        <f t="shared" si="682"/>
        <v>0</v>
      </c>
      <c r="BI190" s="46">
        <f t="shared" si="682"/>
        <v>0</v>
      </c>
      <c r="BJ190" s="46">
        <f t="shared" si="682"/>
        <v>0</v>
      </c>
      <c r="BK190" s="46">
        <f t="shared" si="682"/>
        <v>0</v>
      </c>
      <c r="BL190" s="46">
        <f t="shared" si="682"/>
        <v>0</v>
      </c>
      <c r="BM190" s="57">
        <f t="shared" si="682"/>
        <v>0</v>
      </c>
      <c r="BN190" s="46">
        <f t="shared" si="682"/>
        <v>0</v>
      </c>
      <c r="BO190" s="46">
        <f t="shared" si="682"/>
        <v>0</v>
      </c>
      <c r="BP190" s="46">
        <f t="shared" si="682"/>
        <v>0</v>
      </c>
      <c r="BQ190" s="46">
        <f t="shared" si="682"/>
        <v>0</v>
      </c>
      <c r="BR190" s="46">
        <f t="shared" si="682"/>
        <v>0</v>
      </c>
      <c r="BS190" s="57">
        <f t="shared" si="682"/>
        <v>0</v>
      </c>
      <c r="BT190" s="46">
        <f t="shared" si="682"/>
        <v>0</v>
      </c>
      <c r="BU190" s="46">
        <f t="shared" si="682"/>
        <v>0</v>
      </c>
      <c r="BV190" s="46">
        <f t="shared" si="682"/>
        <v>0</v>
      </c>
      <c r="BW190" s="46">
        <f t="shared" ref="BW190:CK190" si="683">SUM(BW187:BW189)</f>
        <v>0</v>
      </c>
      <c r="BX190" s="46">
        <f t="shared" si="683"/>
        <v>0</v>
      </c>
      <c r="BY190" s="57">
        <f t="shared" si="683"/>
        <v>0</v>
      </c>
      <c r="BZ190" s="46">
        <f t="shared" si="683"/>
        <v>0</v>
      </c>
      <c r="CA190" s="46">
        <f t="shared" si="683"/>
        <v>0</v>
      </c>
      <c r="CB190" s="46">
        <f t="shared" si="683"/>
        <v>0</v>
      </c>
      <c r="CC190" s="46">
        <f t="shared" si="683"/>
        <v>0</v>
      </c>
      <c r="CD190" s="46">
        <f t="shared" si="683"/>
        <v>0</v>
      </c>
      <c r="CE190" s="57">
        <f t="shared" si="683"/>
        <v>0</v>
      </c>
      <c r="CF190" s="46">
        <f t="shared" si="683"/>
        <v>0</v>
      </c>
      <c r="CG190" s="46">
        <f t="shared" si="683"/>
        <v>0</v>
      </c>
      <c r="CH190" s="46">
        <f t="shared" si="683"/>
        <v>0</v>
      </c>
      <c r="CI190" s="46">
        <f t="shared" si="683"/>
        <v>0</v>
      </c>
      <c r="CJ190" s="46">
        <f t="shared" si="683"/>
        <v>0</v>
      </c>
      <c r="CK190" s="57">
        <f t="shared" si="683"/>
        <v>0</v>
      </c>
      <c r="CL190" s="56">
        <f t="shared" si="669"/>
        <v>2233091155.5938001</v>
      </c>
      <c r="CM190" s="56">
        <f t="shared" si="669"/>
        <v>0</v>
      </c>
      <c r="CN190" s="56">
        <f t="shared" si="669"/>
        <v>0</v>
      </c>
      <c r="CO190" s="56">
        <f t="shared" si="669"/>
        <v>700000000</v>
      </c>
      <c r="CP190" s="56">
        <f t="shared" si="669"/>
        <v>373403000</v>
      </c>
      <c r="CQ190" s="56">
        <f t="shared" si="669"/>
        <v>3306494155.5938001</v>
      </c>
      <c r="CR190" s="37">
        <f t="shared" si="670"/>
        <v>314068392.13999999</v>
      </c>
      <c r="CS190" s="39">
        <f t="shared" si="671"/>
        <v>715284437.31999993</v>
      </c>
      <c r="CT190" s="53">
        <f t="shared" si="672"/>
        <v>728413654.39999998</v>
      </c>
      <c r="CU190" s="39">
        <f t="shared" si="673"/>
        <v>749074322.60570002</v>
      </c>
      <c r="CV190" s="39">
        <f t="shared" si="674"/>
        <v>799653349.12810004</v>
      </c>
      <c r="CW190" s="39">
        <f t="shared" si="675"/>
        <v>0</v>
      </c>
      <c r="CX190" s="39">
        <f t="shared" si="676"/>
        <v>0</v>
      </c>
      <c r="CY190" s="39">
        <f t="shared" si="677"/>
        <v>0</v>
      </c>
      <c r="CZ190" s="39">
        <f t="shared" si="678"/>
        <v>0</v>
      </c>
      <c r="DA190" s="39">
        <f t="shared" si="679"/>
        <v>0</v>
      </c>
      <c r="DB190" s="39">
        <f t="shared" si="680"/>
        <v>0</v>
      </c>
      <c r="DC190" s="39">
        <f t="shared" si="681"/>
        <v>0</v>
      </c>
      <c r="DD190" s="39">
        <f>+HLOOKUP('Reporte Evolución Mensual'!$F$2-2,$CR$2:$DC$251, Input!$DG190, FALSE)</f>
        <v>0</v>
      </c>
      <c r="DE190" s="39">
        <f>+HLOOKUP('Reporte Evolución Mensual'!$F$2-1,$CR$2:$DC$251, Input!$DG190, FALSE)</f>
        <v>0</v>
      </c>
      <c r="DF190" s="39">
        <f>+HLOOKUP('Reporte Evolución Mensual'!$F$2,$CR$2:$DC$251, Input!$DG190, FALSE)</f>
        <v>0</v>
      </c>
      <c r="DG190" s="40">
        <f t="shared" si="479"/>
        <v>190</v>
      </c>
      <c r="DH190" s="39"/>
      <c r="DI190" s="39"/>
      <c r="DJ190" s="39"/>
      <c r="DK190" s="39"/>
      <c r="DL190" s="39"/>
      <c r="DM190" s="39"/>
      <c r="DN190" s="39"/>
      <c r="DO190" s="58"/>
      <c r="DP190" s="58"/>
      <c r="DQ190" s="58"/>
      <c r="DR190" s="58"/>
      <c r="DS190" s="41"/>
      <c r="DT190" s="41"/>
      <c r="DU190" s="41"/>
      <c r="DV190" s="345" t="s">
        <v>163</v>
      </c>
    </row>
    <row r="191" spans="1:126" ht="15" customHeight="1" x14ac:dyDescent="0.3">
      <c r="A191" s="1" t="str">
        <f t="shared" si="419"/>
        <v>ADIFSE</v>
      </c>
      <c r="B191" s="1" t="str">
        <f t="shared" si="420"/>
        <v>ADIFSE</v>
      </c>
      <c r="C191" s="1" t="str">
        <f t="shared" si="421"/>
        <v>MAY</v>
      </c>
      <c r="D191" s="41" t="s">
        <v>108</v>
      </c>
      <c r="E191" s="122" t="s">
        <v>333</v>
      </c>
      <c r="F191" s="125"/>
      <c r="G191" s="16"/>
      <c r="H191" s="7"/>
      <c r="I191" s="7"/>
      <c r="J191" s="7"/>
      <c r="K191" s="88"/>
      <c r="L191" s="46"/>
      <c r="M191" s="46"/>
      <c r="N191" s="46"/>
      <c r="O191" s="46"/>
      <c r="P191" s="46"/>
      <c r="Q191" s="56"/>
      <c r="R191" s="46"/>
      <c r="S191" s="46"/>
      <c r="T191" s="46"/>
      <c r="U191" s="46"/>
      <c r="V191" s="46"/>
      <c r="W191" s="57"/>
      <c r="X191" s="46"/>
      <c r="Y191" s="46"/>
      <c r="Z191" s="46"/>
      <c r="AA191" s="46"/>
      <c r="AB191" s="46"/>
      <c r="AC191" s="57"/>
      <c r="AD191" s="46"/>
      <c r="AE191" s="46"/>
      <c r="AF191" s="46"/>
      <c r="AG191" s="46"/>
      <c r="AH191" s="46"/>
      <c r="AI191" s="57"/>
      <c r="AJ191" s="46"/>
      <c r="AK191" s="46"/>
      <c r="AL191" s="46"/>
      <c r="AM191" s="46"/>
      <c r="AN191" s="46"/>
      <c r="AO191" s="57"/>
      <c r="AP191" s="46"/>
      <c r="AQ191" s="46"/>
      <c r="AR191" s="46"/>
      <c r="AS191" s="46"/>
      <c r="AT191" s="46"/>
      <c r="AU191" s="57"/>
      <c r="AV191" s="46"/>
      <c r="AW191" s="46"/>
      <c r="AX191" s="46"/>
      <c r="AY191" s="46"/>
      <c r="AZ191" s="46"/>
      <c r="BA191" s="57"/>
      <c r="BB191" s="46"/>
      <c r="BC191" s="46"/>
      <c r="BD191" s="46"/>
      <c r="BE191" s="46"/>
      <c r="BF191" s="46"/>
      <c r="BG191" s="57"/>
      <c r="BH191" s="46"/>
      <c r="BI191" s="46"/>
      <c r="BJ191" s="46"/>
      <c r="BK191" s="46"/>
      <c r="BL191" s="46"/>
      <c r="BM191" s="57"/>
      <c r="BN191" s="46"/>
      <c r="BO191" s="46"/>
      <c r="BP191" s="46"/>
      <c r="BQ191" s="46"/>
      <c r="BR191" s="46"/>
      <c r="BS191" s="57"/>
      <c r="BT191" s="46"/>
      <c r="BU191" s="46"/>
      <c r="BV191" s="46"/>
      <c r="BW191" s="46"/>
      <c r="BX191" s="46"/>
      <c r="BY191" s="57"/>
      <c r="BZ191" s="46"/>
      <c r="CA191" s="46"/>
      <c r="CB191" s="46"/>
      <c r="CC191" s="46"/>
      <c r="CD191" s="46"/>
      <c r="CE191" s="57"/>
      <c r="CF191" s="46"/>
      <c r="CG191" s="46"/>
      <c r="CH191" s="46"/>
      <c r="CI191" s="46"/>
      <c r="CJ191" s="46"/>
      <c r="CK191" s="57"/>
      <c r="CL191" s="56"/>
      <c r="CM191" s="56"/>
      <c r="CN191" s="56"/>
      <c r="CO191" s="56"/>
      <c r="CP191" s="56"/>
      <c r="CQ191" s="56"/>
      <c r="CR191" s="46"/>
      <c r="CS191" s="39"/>
      <c r="CT191" s="53"/>
      <c r="CU191" s="39"/>
      <c r="CV191" s="39"/>
      <c r="CW191" s="39"/>
      <c r="CX191" s="39"/>
      <c r="CY191" s="39"/>
      <c r="CZ191" s="39"/>
      <c r="DA191" s="39"/>
      <c r="DB191" s="39"/>
      <c r="DC191" s="39"/>
      <c r="DD191" s="39">
        <f>+HLOOKUP('Reporte Evolución Mensual'!$F$2-2,$CR$2:$DC$251, Input!$DG191, FALSE)</f>
        <v>0</v>
      </c>
      <c r="DE191" s="39">
        <f>+HLOOKUP('Reporte Evolución Mensual'!$F$2-1,$CR$2:$DC$251, Input!$DG191, FALSE)</f>
        <v>0</v>
      </c>
      <c r="DF191" s="39">
        <f>+HLOOKUP('Reporte Evolución Mensual'!$F$2,$CR$2:$DC$251, Input!$DG191, FALSE)</f>
        <v>0</v>
      </c>
      <c r="DG191" s="40">
        <f t="shared" si="479"/>
        <v>191</v>
      </c>
      <c r="DH191" s="39"/>
      <c r="DI191" s="39"/>
      <c r="DJ191" s="39"/>
      <c r="DK191" s="39"/>
      <c r="DL191" s="39"/>
      <c r="DM191" s="39"/>
      <c r="DN191" s="39"/>
      <c r="DO191" s="58"/>
      <c r="DP191" s="58"/>
      <c r="DQ191" s="58"/>
      <c r="DR191" s="58"/>
      <c r="DS191" s="41"/>
      <c r="DT191" s="41"/>
      <c r="DU191" s="41"/>
      <c r="DV191" s="345"/>
    </row>
    <row r="192" spans="1:126" ht="15" customHeight="1" x14ac:dyDescent="0.3">
      <c r="A192" s="1" t="str">
        <f t="shared" si="419"/>
        <v>ADIFSE</v>
      </c>
      <c r="B192" s="1" t="str">
        <f t="shared" si="420"/>
        <v>ADIFSE</v>
      </c>
      <c r="C192" s="1" t="str">
        <f t="shared" si="421"/>
        <v>MAY</v>
      </c>
      <c r="D192" s="41" t="s">
        <v>108</v>
      </c>
      <c r="E192" s="124" t="s">
        <v>222</v>
      </c>
      <c r="F192" s="125"/>
      <c r="G192" s="75"/>
      <c r="H192" s="76"/>
      <c r="I192" s="76"/>
      <c r="J192" s="76"/>
      <c r="K192" s="88"/>
      <c r="L192" s="46"/>
      <c r="M192" s="46"/>
      <c r="N192" s="46"/>
      <c r="O192" s="46"/>
      <c r="P192" s="46"/>
      <c r="Q192" s="56"/>
      <c r="R192" s="46"/>
      <c r="S192" s="46"/>
      <c r="T192" s="46"/>
      <c r="U192" s="46"/>
      <c r="V192" s="46"/>
      <c r="W192" s="57"/>
      <c r="X192" s="46"/>
      <c r="Y192" s="46"/>
      <c r="Z192" s="46"/>
      <c r="AA192" s="46"/>
      <c r="AB192" s="46"/>
      <c r="AC192" s="57"/>
      <c r="AD192" s="46"/>
      <c r="AE192" s="46"/>
      <c r="AF192" s="46"/>
      <c r="AG192" s="46"/>
      <c r="AH192" s="46"/>
      <c r="AI192" s="57"/>
      <c r="AJ192" s="46"/>
      <c r="AK192" s="46"/>
      <c r="AL192" s="46"/>
      <c r="AM192" s="46"/>
      <c r="AN192" s="46"/>
      <c r="AO192" s="57"/>
      <c r="AP192" s="46"/>
      <c r="AQ192" s="46"/>
      <c r="AR192" s="46"/>
      <c r="AS192" s="46"/>
      <c r="AT192" s="46"/>
      <c r="AU192" s="57"/>
      <c r="AV192" s="46"/>
      <c r="AW192" s="46"/>
      <c r="AX192" s="46"/>
      <c r="AY192" s="46"/>
      <c r="AZ192" s="46"/>
      <c r="BA192" s="57"/>
      <c r="BB192" s="46"/>
      <c r="BC192" s="46"/>
      <c r="BD192" s="46"/>
      <c r="BE192" s="46"/>
      <c r="BF192" s="46"/>
      <c r="BG192" s="57"/>
      <c r="BH192" s="46"/>
      <c r="BI192" s="46"/>
      <c r="BJ192" s="46"/>
      <c r="BK192" s="46"/>
      <c r="BL192" s="46"/>
      <c r="BM192" s="57"/>
      <c r="BN192" s="46"/>
      <c r="BO192" s="46"/>
      <c r="BP192" s="46"/>
      <c r="BQ192" s="46"/>
      <c r="BR192" s="46"/>
      <c r="BS192" s="57"/>
      <c r="BT192" s="46"/>
      <c r="BU192" s="46"/>
      <c r="BV192" s="46"/>
      <c r="BW192" s="46"/>
      <c r="BX192" s="46"/>
      <c r="BY192" s="57"/>
      <c r="BZ192" s="46"/>
      <c r="CA192" s="46"/>
      <c r="CB192" s="46"/>
      <c r="CC192" s="46"/>
      <c r="CD192" s="46"/>
      <c r="CE192" s="57"/>
      <c r="CF192" s="46"/>
      <c r="CG192" s="46"/>
      <c r="CH192" s="46"/>
      <c r="CI192" s="46"/>
      <c r="CJ192" s="46"/>
      <c r="CK192" s="57"/>
      <c r="CL192" s="56"/>
      <c r="CM192" s="56"/>
      <c r="CN192" s="56"/>
      <c r="CO192" s="56"/>
      <c r="CP192" s="56"/>
      <c r="CQ192" s="56"/>
      <c r="CR192" s="46"/>
      <c r="CS192" s="39"/>
      <c r="CT192" s="53"/>
      <c r="CU192" s="39"/>
      <c r="CV192" s="39"/>
      <c r="CW192" s="39"/>
      <c r="CX192" s="39"/>
      <c r="CY192" s="39"/>
      <c r="CZ192" s="39"/>
      <c r="DA192" s="39"/>
      <c r="DB192" s="39"/>
      <c r="DC192" s="39"/>
      <c r="DD192" s="39">
        <f>+HLOOKUP('Reporte Evolución Mensual'!$F$2-2,$CR$2:$DC$251, Input!$DG192, FALSE)</f>
        <v>0</v>
      </c>
      <c r="DE192" s="39">
        <f>+HLOOKUP('Reporte Evolución Mensual'!$F$2-1,$CR$2:$DC$251, Input!$DG192, FALSE)</f>
        <v>0</v>
      </c>
      <c r="DF192" s="39">
        <f>+HLOOKUP('Reporte Evolución Mensual'!$F$2,$CR$2:$DC$251, Input!$DG192, FALSE)</f>
        <v>0</v>
      </c>
      <c r="DG192" s="40">
        <f t="shared" si="479"/>
        <v>192</v>
      </c>
      <c r="DH192" s="39"/>
      <c r="DI192" s="39"/>
      <c r="DJ192" s="39"/>
      <c r="DK192" s="39"/>
      <c r="DL192" s="39"/>
      <c r="DM192" s="39"/>
      <c r="DN192" s="39"/>
      <c r="DO192" s="58"/>
      <c r="DP192" s="58"/>
      <c r="DQ192" s="58"/>
      <c r="DR192" s="58"/>
      <c r="DS192" s="41"/>
      <c r="DT192" s="41"/>
      <c r="DU192" s="41"/>
      <c r="DV192" s="345"/>
    </row>
    <row r="193" spans="1:126" ht="15" customHeight="1" x14ac:dyDescent="0.3">
      <c r="A193" s="1" t="str">
        <f t="shared" si="419"/>
        <v>ADIFSE</v>
      </c>
      <c r="B193" s="1" t="str">
        <f t="shared" si="420"/>
        <v>ADIFSE</v>
      </c>
      <c r="C193" s="1" t="str">
        <f t="shared" si="421"/>
        <v>MAY</v>
      </c>
      <c r="D193" s="1" t="s">
        <v>163</v>
      </c>
      <c r="E193" s="123" t="str">
        <f t="shared" ref="E193:E194" si="684">CONCATENATE(H193," - ",I193)</f>
        <v>Transferencias - Aerolíneas Argentinas</v>
      </c>
      <c r="F193" s="120" t="s">
        <v>236</v>
      </c>
      <c r="G193" s="16" t="s">
        <v>230</v>
      </c>
      <c r="H193" s="7" t="s">
        <v>222</v>
      </c>
      <c r="I193" s="7" t="s">
        <v>206</v>
      </c>
      <c r="J193" s="32" t="s">
        <v>289</v>
      </c>
      <c r="K193" s="38"/>
      <c r="L193" s="51"/>
      <c r="M193" s="51"/>
      <c r="N193" s="51"/>
      <c r="O193" s="51"/>
      <c r="P193" s="51"/>
      <c r="Q193" s="35">
        <f t="shared" ref="Q193:Q194" si="685">SUM(L193:P193)</f>
        <v>0</v>
      </c>
      <c r="R193" s="51"/>
      <c r="S193" s="51"/>
      <c r="T193" s="51"/>
      <c r="U193" s="51"/>
      <c r="V193" s="51"/>
      <c r="W193" s="36">
        <f t="shared" ref="W193:W194" si="686">SUM(R193:V193)</f>
        <v>0</v>
      </c>
      <c r="X193" s="51"/>
      <c r="Y193" s="51"/>
      <c r="Z193" s="51"/>
      <c r="AA193" s="51"/>
      <c r="AB193" s="51"/>
      <c r="AC193" s="52">
        <f t="shared" ref="AC193:AC194" si="687">SUM(X193:AB193)</f>
        <v>0</v>
      </c>
      <c r="AD193" s="51"/>
      <c r="AE193" s="51"/>
      <c r="AF193" s="51"/>
      <c r="AG193" s="51"/>
      <c r="AH193" s="51"/>
      <c r="AI193" s="52">
        <f t="shared" ref="AI193:AI194" si="688">SUM(AD193:AH193)</f>
        <v>0</v>
      </c>
      <c r="AJ193" s="51"/>
      <c r="AK193" s="51"/>
      <c r="AL193" s="51"/>
      <c r="AM193" s="51"/>
      <c r="AN193" s="51"/>
      <c r="AO193" s="52">
        <f t="shared" ref="AO193:AO194" si="689">SUM(AJ193:AN193)</f>
        <v>0</v>
      </c>
      <c r="AP193" s="51"/>
      <c r="AQ193" s="51"/>
      <c r="AR193" s="51"/>
      <c r="AS193" s="51"/>
      <c r="AT193" s="51"/>
      <c r="AU193" s="52">
        <f t="shared" ref="AU193:AU194" si="690">SUM(AP193:AT193)</f>
        <v>0</v>
      </c>
      <c r="AV193" s="51"/>
      <c r="AW193" s="51"/>
      <c r="AX193" s="51"/>
      <c r="AY193" s="51"/>
      <c r="AZ193" s="51"/>
      <c r="BA193" s="52">
        <f t="shared" ref="BA193:BA194" si="691">SUM(AV193:AZ193)</f>
        <v>0</v>
      </c>
      <c r="BB193" s="51"/>
      <c r="BC193" s="51"/>
      <c r="BD193" s="51"/>
      <c r="BE193" s="51"/>
      <c r="BF193" s="51"/>
      <c r="BG193" s="52">
        <f t="shared" ref="BG193:BG194" si="692">SUM(BB193:BF193)</f>
        <v>0</v>
      </c>
      <c r="BH193" s="51"/>
      <c r="BI193" s="51"/>
      <c r="BJ193" s="51"/>
      <c r="BK193" s="51"/>
      <c r="BL193" s="51"/>
      <c r="BM193" s="52">
        <f t="shared" ref="BM193:BM194" si="693">SUM(BH193:BL193)</f>
        <v>0</v>
      </c>
      <c r="BN193" s="51"/>
      <c r="BO193" s="51"/>
      <c r="BP193" s="51"/>
      <c r="BQ193" s="51"/>
      <c r="BR193" s="51"/>
      <c r="BS193" s="52">
        <f t="shared" ref="BS193:BS194" si="694">SUM(BN193:BR193)</f>
        <v>0</v>
      </c>
      <c r="BT193" s="51"/>
      <c r="BU193" s="51"/>
      <c r="BV193" s="51"/>
      <c r="BW193" s="51"/>
      <c r="BX193" s="51"/>
      <c r="BY193" s="52">
        <f t="shared" ref="BY193:BY194" si="695">SUM(BT193:BX193)</f>
        <v>0</v>
      </c>
      <c r="BZ193" s="51"/>
      <c r="CA193" s="51"/>
      <c r="CB193" s="51"/>
      <c r="CC193" s="51"/>
      <c r="CD193" s="51"/>
      <c r="CE193" s="52">
        <f t="shared" ref="CE193:CE194" si="696">SUM(BZ193:CD193)</f>
        <v>0</v>
      </c>
      <c r="CF193" s="51"/>
      <c r="CG193" s="51"/>
      <c r="CH193" s="51"/>
      <c r="CI193" s="51"/>
      <c r="CJ193" s="51"/>
      <c r="CK193" s="68">
        <f t="shared" ref="CK193:CK194" si="697">SUM(CF193:CJ193)</f>
        <v>0</v>
      </c>
      <c r="CL193" s="67">
        <f t="shared" ref="CL193:CQ206" si="698">+R193+X193+AD193+AJ193+AP193+AV193+BB193+BH193+BN193+BT193+BZ193+CF193</f>
        <v>0</v>
      </c>
      <c r="CM193" s="67">
        <f t="shared" si="698"/>
        <v>0</v>
      </c>
      <c r="CN193" s="67">
        <f t="shared" si="698"/>
        <v>0</v>
      </c>
      <c r="CO193" s="67">
        <f t="shared" si="698"/>
        <v>0</v>
      </c>
      <c r="CP193" s="67">
        <f t="shared" si="698"/>
        <v>0</v>
      </c>
      <c r="CQ193" s="67">
        <f t="shared" si="698"/>
        <v>0</v>
      </c>
      <c r="CR193" s="37">
        <f t="shared" ref="CR193:CR206" si="699">+W193</f>
        <v>0</v>
      </c>
      <c r="CS193" s="39">
        <f t="shared" ref="CS193:CS206" si="700">+AC193</f>
        <v>0</v>
      </c>
      <c r="CT193" s="53">
        <f t="shared" ref="CT193:CT206" si="701">+AI193</f>
        <v>0</v>
      </c>
      <c r="CU193" s="39">
        <f t="shared" ref="CU193:CU206" si="702">+AO193</f>
        <v>0</v>
      </c>
      <c r="CV193" s="39">
        <f t="shared" ref="CV193:CV206" si="703">+AU193</f>
        <v>0</v>
      </c>
      <c r="CW193" s="39">
        <f t="shared" ref="CW193:CW206" si="704">+BA193</f>
        <v>0</v>
      </c>
      <c r="CX193" s="39">
        <f t="shared" ref="CX193:CX206" si="705">+BG193</f>
        <v>0</v>
      </c>
      <c r="CY193" s="39">
        <f t="shared" ref="CY193:CY206" si="706">+BM193</f>
        <v>0</v>
      </c>
      <c r="CZ193" s="39">
        <f t="shared" ref="CZ193:CZ206" si="707">+BS193</f>
        <v>0</v>
      </c>
      <c r="DA193" s="39">
        <f t="shared" ref="DA193:DA206" si="708">+BY193</f>
        <v>0</v>
      </c>
      <c r="DB193" s="39">
        <f t="shared" ref="DB193:DB206" si="709">+CE193</f>
        <v>0</v>
      </c>
      <c r="DC193" s="39">
        <f t="shared" ref="DC193:DC206" si="710">+CK193</f>
        <v>0</v>
      </c>
      <c r="DD193" s="39">
        <f>+HLOOKUP('Reporte Evolución Mensual'!$F$2-2,$CR$2:$DC$251, Input!$DG193, FALSE)</f>
        <v>0</v>
      </c>
      <c r="DE193" s="39">
        <f>+HLOOKUP('Reporte Evolución Mensual'!$F$2-1,$CR$2:$DC$251, Input!$DG193, FALSE)</f>
        <v>0</v>
      </c>
      <c r="DF193" s="39">
        <f>+HLOOKUP('Reporte Evolución Mensual'!$F$2,$CR$2:$DC$251, Input!$DG193, FALSE)</f>
        <v>0</v>
      </c>
      <c r="DG193" s="40">
        <f t="shared" si="479"/>
        <v>193</v>
      </c>
      <c r="DH193" s="39"/>
      <c r="DI193" s="39"/>
      <c r="DJ193" s="39"/>
      <c r="DK193" s="39"/>
      <c r="DL193" s="39"/>
      <c r="DM193" s="39"/>
      <c r="DN193" s="39"/>
      <c r="DO193" s="58"/>
      <c r="DP193" s="58"/>
      <c r="DQ193" s="58"/>
      <c r="DR193" s="58"/>
      <c r="DS193" s="1"/>
      <c r="DT193" s="1"/>
      <c r="DU193" s="1"/>
      <c r="DV193" s="345"/>
    </row>
    <row r="194" spans="1:126" ht="15" customHeight="1" x14ac:dyDescent="0.3">
      <c r="A194" s="1" t="str">
        <f t="shared" si="419"/>
        <v>ADIFSE</v>
      </c>
      <c r="B194" s="1" t="str">
        <f t="shared" si="420"/>
        <v>ADIFSE</v>
      </c>
      <c r="C194" s="1" t="str">
        <f t="shared" si="421"/>
        <v>MAY</v>
      </c>
      <c r="D194" s="1" t="s">
        <v>163</v>
      </c>
      <c r="E194" s="123" t="str">
        <f t="shared" si="684"/>
        <v>Transferencias - Resto</v>
      </c>
      <c r="F194" s="120" t="s">
        <v>237</v>
      </c>
      <c r="G194" s="16" t="s">
        <v>230</v>
      </c>
      <c r="H194" s="7" t="s">
        <v>222</v>
      </c>
      <c r="I194" s="7" t="s">
        <v>208</v>
      </c>
      <c r="J194" s="32" t="s">
        <v>289</v>
      </c>
      <c r="K194" s="38"/>
      <c r="L194" s="51"/>
      <c r="M194" s="51"/>
      <c r="N194" s="51"/>
      <c r="O194" s="51"/>
      <c r="P194" s="51"/>
      <c r="Q194" s="35">
        <f t="shared" si="685"/>
        <v>0</v>
      </c>
      <c r="R194" s="51"/>
      <c r="S194" s="51"/>
      <c r="T194" s="51"/>
      <c r="U194" s="51"/>
      <c r="V194" s="51"/>
      <c r="W194" s="36">
        <f t="shared" si="686"/>
        <v>0</v>
      </c>
      <c r="X194" s="51"/>
      <c r="Y194" s="51"/>
      <c r="Z194" s="51"/>
      <c r="AA194" s="51"/>
      <c r="AB194" s="51"/>
      <c r="AC194" s="52">
        <f t="shared" si="687"/>
        <v>0</v>
      </c>
      <c r="AD194" s="51"/>
      <c r="AE194" s="51"/>
      <c r="AF194" s="51"/>
      <c r="AG194" s="51"/>
      <c r="AH194" s="51"/>
      <c r="AI194" s="52">
        <f t="shared" si="688"/>
        <v>0</v>
      </c>
      <c r="AJ194" s="51"/>
      <c r="AK194" s="51"/>
      <c r="AL194" s="51"/>
      <c r="AM194" s="51"/>
      <c r="AN194" s="51"/>
      <c r="AO194" s="52">
        <f t="shared" si="689"/>
        <v>0</v>
      </c>
      <c r="AP194" s="51"/>
      <c r="AQ194" s="51"/>
      <c r="AR194" s="51"/>
      <c r="AS194" s="51"/>
      <c r="AT194" s="51"/>
      <c r="AU194" s="52">
        <f t="shared" si="690"/>
        <v>0</v>
      </c>
      <c r="AV194" s="51"/>
      <c r="AW194" s="51"/>
      <c r="AX194" s="51"/>
      <c r="AY194" s="51"/>
      <c r="AZ194" s="51"/>
      <c r="BA194" s="52">
        <f t="shared" si="691"/>
        <v>0</v>
      </c>
      <c r="BB194" s="51"/>
      <c r="BC194" s="51"/>
      <c r="BD194" s="51"/>
      <c r="BE194" s="51"/>
      <c r="BF194" s="51"/>
      <c r="BG194" s="52">
        <f t="shared" si="692"/>
        <v>0</v>
      </c>
      <c r="BH194" s="51"/>
      <c r="BI194" s="51"/>
      <c r="BJ194" s="51"/>
      <c r="BK194" s="51"/>
      <c r="BL194" s="51"/>
      <c r="BM194" s="52">
        <f t="shared" si="693"/>
        <v>0</v>
      </c>
      <c r="BN194" s="51"/>
      <c r="BO194" s="51"/>
      <c r="BP194" s="51"/>
      <c r="BQ194" s="51"/>
      <c r="BR194" s="51"/>
      <c r="BS194" s="52">
        <f t="shared" si="694"/>
        <v>0</v>
      </c>
      <c r="BT194" s="51"/>
      <c r="BU194" s="51"/>
      <c r="BV194" s="51"/>
      <c r="BW194" s="51"/>
      <c r="BX194" s="51"/>
      <c r="BY194" s="52">
        <f t="shared" si="695"/>
        <v>0</v>
      </c>
      <c r="BZ194" s="51"/>
      <c r="CA194" s="51"/>
      <c r="CB194" s="51"/>
      <c r="CC194" s="51"/>
      <c r="CD194" s="51"/>
      <c r="CE194" s="52">
        <f t="shared" si="696"/>
        <v>0</v>
      </c>
      <c r="CF194" s="51"/>
      <c r="CG194" s="51"/>
      <c r="CH194" s="51"/>
      <c r="CI194" s="51"/>
      <c r="CJ194" s="51"/>
      <c r="CK194" s="68">
        <f t="shared" si="697"/>
        <v>0</v>
      </c>
      <c r="CL194" s="67">
        <f t="shared" si="698"/>
        <v>0</v>
      </c>
      <c r="CM194" s="67">
        <f t="shared" si="698"/>
        <v>0</v>
      </c>
      <c r="CN194" s="67">
        <f t="shared" si="698"/>
        <v>0</v>
      </c>
      <c r="CO194" s="67">
        <f t="shared" si="698"/>
        <v>0</v>
      </c>
      <c r="CP194" s="67">
        <f t="shared" si="698"/>
        <v>0</v>
      </c>
      <c r="CQ194" s="67">
        <f t="shared" si="698"/>
        <v>0</v>
      </c>
      <c r="CR194" s="37">
        <f t="shared" si="699"/>
        <v>0</v>
      </c>
      <c r="CS194" s="39">
        <f t="shared" si="700"/>
        <v>0</v>
      </c>
      <c r="CT194" s="53">
        <f t="shared" si="701"/>
        <v>0</v>
      </c>
      <c r="CU194" s="39">
        <f t="shared" si="702"/>
        <v>0</v>
      </c>
      <c r="CV194" s="39">
        <f t="shared" si="703"/>
        <v>0</v>
      </c>
      <c r="CW194" s="39">
        <f t="shared" si="704"/>
        <v>0</v>
      </c>
      <c r="CX194" s="39">
        <f t="shared" si="705"/>
        <v>0</v>
      </c>
      <c r="CY194" s="39">
        <f t="shared" si="706"/>
        <v>0</v>
      </c>
      <c r="CZ194" s="39">
        <f t="shared" si="707"/>
        <v>0</v>
      </c>
      <c r="DA194" s="39">
        <f t="shared" si="708"/>
        <v>0</v>
      </c>
      <c r="DB194" s="39">
        <f t="shared" si="709"/>
        <v>0</v>
      </c>
      <c r="DC194" s="39">
        <f t="shared" si="710"/>
        <v>0</v>
      </c>
      <c r="DD194" s="39">
        <f>+HLOOKUP('Reporte Evolución Mensual'!$F$2-2,$CR$2:$DC$251, Input!$DG194, FALSE)</f>
        <v>0</v>
      </c>
      <c r="DE194" s="39">
        <f>+HLOOKUP('Reporte Evolución Mensual'!$F$2-1,$CR$2:$DC$251, Input!$DG194, FALSE)</f>
        <v>0</v>
      </c>
      <c r="DF194" s="39">
        <f>+HLOOKUP('Reporte Evolución Mensual'!$F$2,$CR$2:$DC$251, Input!$DG194, FALSE)</f>
        <v>0</v>
      </c>
      <c r="DG194" s="40">
        <f t="shared" si="479"/>
        <v>194</v>
      </c>
      <c r="DH194" s="39"/>
      <c r="DI194" s="39"/>
      <c r="DJ194" s="39"/>
      <c r="DK194" s="39"/>
      <c r="DL194" s="39"/>
      <c r="DM194" s="39"/>
      <c r="DN194" s="39"/>
      <c r="DO194" s="58"/>
      <c r="DP194" s="58"/>
      <c r="DQ194" s="58"/>
      <c r="DR194" s="58"/>
      <c r="DS194" s="1"/>
      <c r="DT194" s="1"/>
      <c r="DU194" s="1"/>
      <c r="DV194" s="345" t="s">
        <v>108</v>
      </c>
    </row>
    <row r="195" spans="1:126" ht="15" customHeight="1" x14ac:dyDescent="0.3">
      <c r="A195" s="1" t="str">
        <f t="shared" si="419"/>
        <v>ADIFSE</v>
      </c>
      <c r="B195" s="1" t="str">
        <f t="shared" si="420"/>
        <v>ADIFSE</v>
      </c>
      <c r="C195" s="1" t="str">
        <f t="shared" si="421"/>
        <v>MAY</v>
      </c>
      <c r="D195" s="78" t="s">
        <v>108</v>
      </c>
      <c r="E195" s="128" t="str">
        <f>CONCATENATE(H195," - ",I195)</f>
        <v>Transferencias - Sector Privado</v>
      </c>
      <c r="F195" s="129">
        <v>52</v>
      </c>
      <c r="G195" s="77" t="s">
        <v>230</v>
      </c>
      <c r="H195" s="81" t="s">
        <v>222</v>
      </c>
      <c r="I195" s="81" t="s">
        <v>238</v>
      </c>
      <c r="J195" s="32" t="s">
        <v>289</v>
      </c>
      <c r="K195" s="38"/>
      <c r="L195" s="60">
        <f t="shared" ref="L195:BW195" si="711">SUM(L193:L194)</f>
        <v>0</v>
      </c>
      <c r="M195" s="60">
        <f t="shared" si="711"/>
        <v>0</v>
      </c>
      <c r="N195" s="60">
        <f t="shared" si="711"/>
        <v>0</v>
      </c>
      <c r="O195" s="60">
        <f t="shared" si="711"/>
        <v>0</v>
      </c>
      <c r="P195" s="60">
        <f t="shared" si="711"/>
        <v>0</v>
      </c>
      <c r="Q195" s="82">
        <f t="shared" si="711"/>
        <v>0</v>
      </c>
      <c r="R195" s="60">
        <f t="shared" si="711"/>
        <v>0</v>
      </c>
      <c r="S195" s="60">
        <f t="shared" si="711"/>
        <v>0</v>
      </c>
      <c r="T195" s="60">
        <f t="shared" si="711"/>
        <v>0</v>
      </c>
      <c r="U195" s="60">
        <f t="shared" si="711"/>
        <v>0</v>
      </c>
      <c r="V195" s="60">
        <f t="shared" si="711"/>
        <v>0</v>
      </c>
      <c r="W195" s="83">
        <f t="shared" si="711"/>
        <v>0</v>
      </c>
      <c r="X195" s="60">
        <f t="shared" si="711"/>
        <v>0</v>
      </c>
      <c r="Y195" s="60">
        <f t="shared" si="711"/>
        <v>0</v>
      </c>
      <c r="Z195" s="60">
        <f t="shared" si="711"/>
        <v>0</v>
      </c>
      <c r="AA195" s="60">
        <f t="shared" si="711"/>
        <v>0</v>
      </c>
      <c r="AB195" s="60">
        <f t="shared" si="711"/>
        <v>0</v>
      </c>
      <c r="AC195" s="83">
        <f t="shared" si="711"/>
        <v>0</v>
      </c>
      <c r="AD195" s="60">
        <f t="shared" si="711"/>
        <v>0</v>
      </c>
      <c r="AE195" s="60">
        <f t="shared" si="711"/>
        <v>0</v>
      </c>
      <c r="AF195" s="60">
        <f t="shared" si="711"/>
        <v>0</v>
      </c>
      <c r="AG195" s="60">
        <f t="shared" si="711"/>
        <v>0</v>
      </c>
      <c r="AH195" s="60">
        <f t="shared" si="711"/>
        <v>0</v>
      </c>
      <c r="AI195" s="83">
        <f t="shared" si="711"/>
        <v>0</v>
      </c>
      <c r="AJ195" s="60">
        <f t="shared" si="711"/>
        <v>0</v>
      </c>
      <c r="AK195" s="60">
        <f t="shared" si="711"/>
        <v>0</v>
      </c>
      <c r="AL195" s="60">
        <f t="shared" si="711"/>
        <v>0</v>
      </c>
      <c r="AM195" s="60">
        <f t="shared" si="711"/>
        <v>0</v>
      </c>
      <c r="AN195" s="60">
        <f t="shared" si="711"/>
        <v>0</v>
      </c>
      <c r="AO195" s="83">
        <f t="shared" si="711"/>
        <v>0</v>
      </c>
      <c r="AP195" s="60">
        <f t="shared" si="711"/>
        <v>0</v>
      </c>
      <c r="AQ195" s="60">
        <f t="shared" si="711"/>
        <v>0</v>
      </c>
      <c r="AR195" s="60">
        <f t="shared" si="711"/>
        <v>0</v>
      </c>
      <c r="AS195" s="60">
        <f t="shared" si="711"/>
        <v>0</v>
      </c>
      <c r="AT195" s="60">
        <f t="shared" si="711"/>
        <v>0</v>
      </c>
      <c r="AU195" s="83">
        <f t="shared" si="711"/>
        <v>0</v>
      </c>
      <c r="AV195" s="60">
        <f t="shared" si="711"/>
        <v>0</v>
      </c>
      <c r="AW195" s="60">
        <f t="shared" si="711"/>
        <v>0</v>
      </c>
      <c r="AX195" s="60">
        <f t="shared" si="711"/>
        <v>0</v>
      </c>
      <c r="AY195" s="60">
        <f t="shared" si="711"/>
        <v>0</v>
      </c>
      <c r="AZ195" s="60">
        <f t="shared" si="711"/>
        <v>0</v>
      </c>
      <c r="BA195" s="83">
        <f t="shared" si="711"/>
        <v>0</v>
      </c>
      <c r="BB195" s="60">
        <f t="shared" si="711"/>
        <v>0</v>
      </c>
      <c r="BC195" s="60">
        <f t="shared" si="711"/>
        <v>0</v>
      </c>
      <c r="BD195" s="60">
        <f t="shared" si="711"/>
        <v>0</v>
      </c>
      <c r="BE195" s="60">
        <f t="shared" si="711"/>
        <v>0</v>
      </c>
      <c r="BF195" s="60">
        <f t="shared" si="711"/>
        <v>0</v>
      </c>
      <c r="BG195" s="83">
        <f t="shared" si="711"/>
        <v>0</v>
      </c>
      <c r="BH195" s="60">
        <f t="shared" si="711"/>
        <v>0</v>
      </c>
      <c r="BI195" s="60">
        <f t="shared" si="711"/>
        <v>0</v>
      </c>
      <c r="BJ195" s="60">
        <f t="shared" si="711"/>
        <v>0</v>
      </c>
      <c r="BK195" s="60">
        <f t="shared" si="711"/>
        <v>0</v>
      </c>
      <c r="BL195" s="60">
        <f t="shared" si="711"/>
        <v>0</v>
      </c>
      <c r="BM195" s="83">
        <f t="shared" si="711"/>
        <v>0</v>
      </c>
      <c r="BN195" s="60">
        <f t="shared" si="711"/>
        <v>0</v>
      </c>
      <c r="BO195" s="60">
        <f t="shared" si="711"/>
        <v>0</v>
      </c>
      <c r="BP195" s="60">
        <f t="shared" si="711"/>
        <v>0</v>
      </c>
      <c r="BQ195" s="60">
        <f t="shared" si="711"/>
        <v>0</v>
      </c>
      <c r="BR195" s="60">
        <f t="shared" si="711"/>
        <v>0</v>
      </c>
      <c r="BS195" s="83">
        <f t="shared" si="711"/>
        <v>0</v>
      </c>
      <c r="BT195" s="60">
        <f t="shared" si="711"/>
        <v>0</v>
      </c>
      <c r="BU195" s="60">
        <f t="shared" si="711"/>
        <v>0</v>
      </c>
      <c r="BV195" s="60">
        <f t="shared" si="711"/>
        <v>0</v>
      </c>
      <c r="BW195" s="60">
        <f t="shared" si="711"/>
        <v>0</v>
      </c>
      <c r="BX195" s="60">
        <f t="shared" ref="BX195:CK195" si="712">SUM(BX193:BX194)</f>
        <v>0</v>
      </c>
      <c r="BY195" s="83">
        <f t="shared" si="712"/>
        <v>0</v>
      </c>
      <c r="BZ195" s="60">
        <f t="shared" si="712"/>
        <v>0</v>
      </c>
      <c r="CA195" s="60">
        <f t="shared" si="712"/>
        <v>0</v>
      </c>
      <c r="CB195" s="60">
        <f t="shared" si="712"/>
        <v>0</v>
      </c>
      <c r="CC195" s="60">
        <f t="shared" si="712"/>
        <v>0</v>
      </c>
      <c r="CD195" s="60">
        <f t="shared" si="712"/>
        <v>0</v>
      </c>
      <c r="CE195" s="83">
        <f t="shared" si="712"/>
        <v>0</v>
      </c>
      <c r="CF195" s="60">
        <f t="shared" si="712"/>
        <v>0</v>
      </c>
      <c r="CG195" s="60">
        <f t="shared" si="712"/>
        <v>0</v>
      </c>
      <c r="CH195" s="60">
        <f t="shared" si="712"/>
        <v>0</v>
      </c>
      <c r="CI195" s="60">
        <f t="shared" si="712"/>
        <v>0</v>
      </c>
      <c r="CJ195" s="60">
        <f t="shared" si="712"/>
        <v>0</v>
      </c>
      <c r="CK195" s="83">
        <f t="shared" si="712"/>
        <v>0</v>
      </c>
      <c r="CL195" s="82">
        <f t="shared" si="698"/>
        <v>0</v>
      </c>
      <c r="CM195" s="82">
        <f t="shared" si="698"/>
        <v>0</v>
      </c>
      <c r="CN195" s="82">
        <f t="shared" si="698"/>
        <v>0</v>
      </c>
      <c r="CO195" s="82">
        <f t="shared" si="698"/>
        <v>0</v>
      </c>
      <c r="CP195" s="82">
        <f t="shared" si="698"/>
        <v>0</v>
      </c>
      <c r="CQ195" s="82">
        <f t="shared" si="698"/>
        <v>0</v>
      </c>
      <c r="CR195" s="37">
        <f t="shared" si="699"/>
        <v>0</v>
      </c>
      <c r="CS195" s="39">
        <f t="shared" si="700"/>
        <v>0</v>
      </c>
      <c r="CT195" s="53">
        <f t="shared" si="701"/>
        <v>0</v>
      </c>
      <c r="CU195" s="39">
        <f t="shared" si="702"/>
        <v>0</v>
      </c>
      <c r="CV195" s="39">
        <f t="shared" si="703"/>
        <v>0</v>
      </c>
      <c r="CW195" s="39">
        <f t="shared" si="704"/>
        <v>0</v>
      </c>
      <c r="CX195" s="39">
        <f t="shared" si="705"/>
        <v>0</v>
      </c>
      <c r="CY195" s="39">
        <f t="shared" si="706"/>
        <v>0</v>
      </c>
      <c r="CZ195" s="39">
        <f t="shared" si="707"/>
        <v>0</v>
      </c>
      <c r="DA195" s="39">
        <f t="shared" si="708"/>
        <v>0</v>
      </c>
      <c r="DB195" s="39">
        <f t="shared" si="709"/>
        <v>0</v>
      </c>
      <c r="DC195" s="39">
        <f t="shared" si="710"/>
        <v>0</v>
      </c>
      <c r="DD195" s="39">
        <f>+HLOOKUP('Reporte Evolución Mensual'!$F$2-2,$CR$2:$DC$251, Input!$DG195, FALSE)</f>
        <v>0</v>
      </c>
      <c r="DE195" s="39">
        <f>+HLOOKUP('Reporte Evolución Mensual'!$F$2-1,$CR$2:$DC$251, Input!$DG195, FALSE)</f>
        <v>0</v>
      </c>
      <c r="DF195" s="39">
        <f>+HLOOKUP('Reporte Evolución Mensual'!$F$2,$CR$2:$DC$251, Input!$DG195, FALSE)</f>
        <v>0</v>
      </c>
      <c r="DG195" s="40">
        <f t="shared" si="479"/>
        <v>195</v>
      </c>
      <c r="DH195" s="84"/>
      <c r="DI195" s="84"/>
      <c r="DJ195" s="84"/>
      <c r="DK195" s="84"/>
      <c r="DL195" s="84"/>
      <c r="DM195" s="84"/>
      <c r="DN195" s="84"/>
      <c r="DO195" s="130"/>
      <c r="DP195" s="130"/>
      <c r="DQ195" s="130"/>
      <c r="DR195" s="130"/>
      <c r="DS195" s="78"/>
      <c r="DT195" s="78"/>
      <c r="DU195" s="78"/>
      <c r="DV195" s="345" t="s">
        <v>163</v>
      </c>
    </row>
    <row r="196" spans="1:126" ht="15" customHeight="1" x14ac:dyDescent="0.3">
      <c r="A196" s="1" t="str">
        <f t="shared" ref="A196:A259" si="713">$F$8</f>
        <v>ADIFSE</v>
      </c>
      <c r="B196" s="1" t="str">
        <f t="shared" ref="B196:B259" si="714">$F$9</f>
        <v>ADIFSE</v>
      </c>
      <c r="C196" s="1" t="str">
        <f t="shared" ref="C196:C259" si="715">$F$7</f>
        <v>MAY</v>
      </c>
      <c r="D196" s="1" t="s">
        <v>163</v>
      </c>
      <c r="E196" s="123" t="str">
        <f t="shared" ref="E196:E197" si="716">CONCATENATE(H196," - ",I196)</f>
        <v>Transferencias - DNV</v>
      </c>
      <c r="F196" s="120" t="s">
        <v>239</v>
      </c>
      <c r="G196" s="16" t="s">
        <v>230</v>
      </c>
      <c r="H196" s="7" t="s">
        <v>222</v>
      </c>
      <c r="I196" s="7" t="s">
        <v>240</v>
      </c>
      <c r="J196" s="32" t="s">
        <v>289</v>
      </c>
      <c r="K196" s="38"/>
      <c r="L196" s="51"/>
      <c r="M196" s="51"/>
      <c r="N196" s="51"/>
      <c r="O196" s="51"/>
      <c r="P196" s="51"/>
      <c r="Q196" s="35">
        <f t="shared" ref="Q196:Q197" si="717">SUM(L196:P196)</f>
        <v>0</v>
      </c>
      <c r="R196" s="51"/>
      <c r="S196" s="51"/>
      <c r="T196" s="51"/>
      <c r="U196" s="51"/>
      <c r="V196" s="51"/>
      <c r="W196" s="36">
        <f t="shared" ref="W196:W197" si="718">SUM(R196:V196)</f>
        <v>0</v>
      </c>
      <c r="X196" s="51"/>
      <c r="Y196" s="51"/>
      <c r="Z196" s="51"/>
      <c r="AA196" s="51"/>
      <c r="AB196" s="51"/>
      <c r="AC196" s="52">
        <f t="shared" ref="AC196:AC197" si="719">SUM(X196:AB196)</f>
        <v>0</v>
      </c>
      <c r="AD196" s="51"/>
      <c r="AE196" s="51"/>
      <c r="AF196" s="51"/>
      <c r="AG196" s="51"/>
      <c r="AH196" s="51"/>
      <c r="AI196" s="52">
        <f t="shared" ref="AI196:AI197" si="720">SUM(AD196:AH196)</f>
        <v>0</v>
      </c>
      <c r="AJ196" s="51"/>
      <c r="AK196" s="51"/>
      <c r="AL196" s="51"/>
      <c r="AM196" s="51"/>
      <c r="AN196" s="51"/>
      <c r="AO196" s="52">
        <f t="shared" ref="AO196:AO197" si="721">SUM(AJ196:AN196)</f>
        <v>0</v>
      </c>
      <c r="AP196" s="51"/>
      <c r="AQ196" s="51"/>
      <c r="AR196" s="51"/>
      <c r="AS196" s="51"/>
      <c r="AT196" s="51"/>
      <c r="AU196" s="52">
        <f t="shared" ref="AU196:AU197" si="722">SUM(AP196:AT196)</f>
        <v>0</v>
      </c>
      <c r="AV196" s="51"/>
      <c r="AW196" s="51"/>
      <c r="AX196" s="51"/>
      <c r="AY196" s="51"/>
      <c r="AZ196" s="51"/>
      <c r="BA196" s="52">
        <f t="shared" ref="BA196:BA197" si="723">SUM(AV196:AZ196)</f>
        <v>0</v>
      </c>
      <c r="BB196" s="51"/>
      <c r="BC196" s="51"/>
      <c r="BD196" s="51"/>
      <c r="BE196" s="51"/>
      <c r="BF196" s="51"/>
      <c r="BG196" s="52">
        <f t="shared" ref="BG196:BG197" si="724">SUM(BB196:BF196)</f>
        <v>0</v>
      </c>
      <c r="BH196" s="51"/>
      <c r="BI196" s="51"/>
      <c r="BJ196" s="51"/>
      <c r="BK196" s="51"/>
      <c r="BL196" s="51"/>
      <c r="BM196" s="52">
        <f t="shared" ref="BM196:BM197" si="725">SUM(BH196:BL196)</f>
        <v>0</v>
      </c>
      <c r="BN196" s="51"/>
      <c r="BO196" s="51"/>
      <c r="BP196" s="51"/>
      <c r="BQ196" s="51"/>
      <c r="BR196" s="51"/>
      <c r="BS196" s="52">
        <f t="shared" ref="BS196:BS197" si="726">SUM(BN196:BR196)</f>
        <v>0</v>
      </c>
      <c r="BT196" s="51"/>
      <c r="BU196" s="51"/>
      <c r="BV196" s="51"/>
      <c r="BW196" s="51"/>
      <c r="BX196" s="51"/>
      <c r="BY196" s="52">
        <f t="shared" ref="BY196:BY197" si="727">SUM(BT196:BX196)</f>
        <v>0</v>
      </c>
      <c r="BZ196" s="51"/>
      <c r="CA196" s="51"/>
      <c r="CB196" s="51"/>
      <c r="CC196" s="51"/>
      <c r="CD196" s="51"/>
      <c r="CE196" s="52">
        <f t="shared" ref="CE196:CE197" si="728">SUM(BZ196:CD196)</f>
        <v>0</v>
      </c>
      <c r="CF196" s="51"/>
      <c r="CG196" s="51"/>
      <c r="CH196" s="51"/>
      <c r="CI196" s="51"/>
      <c r="CJ196" s="51"/>
      <c r="CK196" s="68">
        <f t="shared" ref="CK196:CK197" si="729">SUM(CF196:CJ196)</f>
        <v>0</v>
      </c>
      <c r="CL196" s="67">
        <f t="shared" si="698"/>
        <v>0</v>
      </c>
      <c r="CM196" s="67">
        <f t="shared" si="698"/>
        <v>0</v>
      </c>
      <c r="CN196" s="67">
        <f t="shared" si="698"/>
        <v>0</v>
      </c>
      <c r="CO196" s="67">
        <f t="shared" si="698"/>
        <v>0</v>
      </c>
      <c r="CP196" s="67">
        <f t="shared" si="698"/>
        <v>0</v>
      </c>
      <c r="CQ196" s="67">
        <f t="shared" si="698"/>
        <v>0</v>
      </c>
      <c r="CR196" s="37">
        <f t="shared" si="699"/>
        <v>0</v>
      </c>
      <c r="CS196" s="39">
        <f t="shared" si="700"/>
        <v>0</v>
      </c>
      <c r="CT196" s="53">
        <f t="shared" si="701"/>
        <v>0</v>
      </c>
      <c r="CU196" s="39">
        <f t="shared" si="702"/>
        <v>0</v>
      </c>
      <c r="CV196" s="39">
        <f t="shared" si="703"/>
        <v>0</v>
      </c>
      <c r="CW196" s="39">
        <f t="shared" si="704"/>
        <v>0</v>
      </c>
      <c r="CX196" s="39">
        <f t="shared" si="705"/>
        <v>0</v>
      </c>
      <c r="CY196" s="39">
        <f t="shared" si="706"/>
        <v>0</v>
      </c>
      <c r="CZ196" s="39">
        <f t="shared" si="707"/>
        <v>0</v>
      </c>
      <c r="DA196" s="39">
        <f t="shared" si="708"/>
        <v>0</v>
      </c>
      <c r="DB196" s="39">
        <f t="shared" si="709"/>
        <v>0</v>
      </c>
      <c r="DC196" s="39">
        <f t="shared" si="710"/>
        <v>0</v>
      </c>
      <c r="DD196" s="39">
        <f>+HLOOKUP('Reporte Evolución Mensual'!$F$2-2,$CR$2:$DC$251, Input!$DG196, FALSE)</f>
        <v>0</v>
      </c>
      <c r="DE196" s="39">
        <f>+HLOOKUP('Reporte Evolución Mensual'!$F$2-1,$CR$2:$DC$251, Input!$DG196, FALSE)</f>
        <v>0</v>
      </c>
      <c r="DF196" s="39">
        <f>+HLOOKUP('Reporte Evolución Mensual'!$F$2,$CR$2:$DC$251, Input!$DG196, FALSE)</f>
        <v>0</v>
      </c>
      <c r="DG196" s="40">
        <f t="shared" si="479"/>
        <v>196</v>
      </c>
      <c r="DH196" s="39"/>
      <c r="DI196" s="39"/>
      <c r="DJ196" s="39"/>
      <c r="DK196" s="39"/>
      <c r="DL196" s="39"/>
      <c r="DM196" s="39"/>
      <c r="DN196" s="39"/>
      <c r="DO196" s="58"/>
      <c r="DP196" s="58"/>
      <c r="DQ196" s="58"/>
      <c r="DR196" s="58"/>
      <c r="DS196" s="1"/>
      <c r="DT196" s="1"/>
      <c r="DU196" s="1"/>
      <c r="DV196" s="345"/>
    </row>
    <row r="197" spans="1:126" ht="15" customHeight="1" x14ac:dyDescent="0.3">
      <c r="A197" s="1" t="str">
        <f t="shared" si="713"/>
        <v>ADIFSE</v>
      </c>
      <c r="B197" s="1" t="str">
        <f t="shared" si="714"/>
        <v>ADIFSE</v>
      </c>
      <c r="C197" s="1" t="str">
        <f t="shared" si="715"/>
        <v>MAY</v>
      </c>
      <c r="D197" s="1" t="s">
        <v>163</v>
      </c>
      <c r="E197" s="123" t="str">
        <f t="shared" si="716"/>
        <v>Transferencias - Resto</v>
      </c>
      <c r="F197" s="120" t="s">
        <v>241</v>
      </c>
      <c r="G197" s="16" t="s">
        <v>230</v>
      </c>
      <c r="H197" s="7" t="s">
        <v>222</v>
      </c>
      <c r="I197" s="7" t="s">
        <v>208</v>
      </c>
      <c r="J197" s="32" t="s">
        <v>289</v>
      </c>
      <c r="K197" s="38"/>
      <c r="L197" s="51"/>
      <c r="M197" s="51"/>
      <c r="N197" s="51"/>
      <c r="O197" s="51"/>
      <c r="P197" s="51"/>
      <c r="Q197" s="35">
        <f t="shared" si="717"/>
        <v>0</v>
      </c>
      <c r="R197" s="51"/>
      <c r="S197" s="51"/>
      <c r="T197" s="51"/>
      <c r="U197" s="51"/>
      <c r="V197" s="51"/>
      <c r="W197" s="36">
        <f t="shared" si="718"/>
        <v>0</v>
      </c>
      <c r="X197" s="51"/>
      <c r="Y197" s="51"/>
      <c r="Z197" s="51"/>
      <c r="AA197" s="51"/>
      <c r="AB197" s="51"/>
      <c r="AC197" s="52">
        <f t="shared" si="719"/>
        <v>0</v>
      </c>
      <c r="AD197" s="51"/>
      <c r="AE197" s="51"/>
      <c r="AF197" s="51"/>
      <c r="AG197" s="51"/>
      <c r="AH197" s="51"/>
      <c r="AI197" s="52">
        <f t="shared" si="720"/>
        <v>0</v>
      </c>
      <c r="AJ197" s="51"/>
      <c r="AK197" s="51"/>
      <c r="AL197" s="51"/>
      <c r="AM197" s="51"/>
      <c r="AN197" s="51"/>
      <c r="AO197" s="52">
        <f t="shared" si="721"/>
        <v>0</v>
      </c>
      <c r="AP197" s="51"/>
      <c r="AQ197" s="51"/>
      <c r="AR197" s="51"/>
      <c r="AS197" s="51"/>
      <c r="AT197" s="51"/>
      <c r="AU197" s="52">
        <f t="shared" si="722"/>
        <v>0</v>
      </c>
      <c r="AV197" s="51"/>
      <c r="AW197" s="51"/>
      <c r="AX197" s="51"/>
      <c r="AY197" s="51"/>
      <c r="AZ197" s="51"/>
      <c r="BA197" s="52">
        <f t="shared" si="723"/>
        <v>0</v>
      </c>
      <c r="BB197" s="51"/>
      <c r="BC197" s="51"/>
      <c r="BD197" s="51"/>
      <c r="BE197" s="51"/>
      <c r="BF197" s="51"/>
      <c r="BG197" s="52">
        <f t="shared" si="724"/>
        <v>0</v>
      </c>
      <c r="BH197" s="51"/>
      <c r="BI197" s="51"/>
      <c r="BJ197" s="51"/>
      <c r="BK197" s="51"/>
      <c r="BL197" s="51"/>
      <c r="BM197" s="52">
        <f t="shared" si="725"/>
        <v>0</v>
      </c>
      <c r="BN197" s="51"/>
      <c r="BO197" s="51"/>
      <c r="BP197" s="51"/>
      <c r="BQ197" s="51"/>
      <c r="BR197" s="51"/>
      <c r="BS197" s="52">
        <f t="shared" si="726"/>
        <v>0</v>
      </c>
      <c r="BT197" s="51"/>
      <c r="BU197" s="51"/>
      <c r="BV197" s="51"/>
      <c r="BW197" s="51"/>
      <c r="BX197" s="51"/>
      <c r="BY197" s="52">
        <f t="shared" si="727"/>
        <v>0</v>
      </c>
      <c r="BZ197" s="51"/>
      <c r="CA197" s="51"/>
      <c r="CB197" s="51"/>
      <c r="CC197" s="51"/>
      <c r="CD197" s="51"/>
      <c r="CE197" s="52">
        <f t="shared" si="728"/>
        <v>0</v>
      </c>
      <c r="CF197" s="51"/>
      <c r="CG197" s="51"/>
      <c r="CH197" s="51"/>
      <c r="CI197" s="51"/>
      <c r="CJ197" s="51"/>
      <c r="CK197" s="68">
        <f t="shared" si="729"/>
        <v>0</v>
      </c>
      <c r="CL197" s="67">
        <f t="shared" si="698"/>
        <v>0</v>
      </c>
      <c r="CM197" s="67">
        <f t="shared" si="698"/>
        <v>0</v>
      </c>
      <c r="CN197" s="67">
        <f t="shared" si="698"/>
        <v>0</v>
      </c>
      <c r="CO197" s="67">
        <f t="shared" si="698"/>
        <v>0</v>
      </c>
      <c r="CP197" s="67">
        <f t="shared" si="698"/>
        <v>0</v>
      </c>
      <c r="CQ197" s="67">
        <f t="shared" si="698"/>
        <v>0</v>
      </c>
      <c r="CR197" s="37">
        <f t="shared" si="699"/>
        <v>0</v>
      </c>
      <c r="CS197" s="39">
        <f t="shared" si="700"/>
        <v>0</v>
      </c>
      <c r="CT197" s="53">
        <f t="shared" si="701"/>
        <v>0</v>
      </c>
      <c r="CU197" s="39">
        <f t="shared" si="702"/>
        <v>0</v>
      </c>
      <c r="CV197" s="39">
        <f t="shared" si="703"/>
        <v>0</v>
      </c>
      <c r="CW197" s="39">
        <f t="shared" si="704"/>
        <v>0</v>
      </c>
      <c r="CX197" s="39">
        <f t="shared" si="705"/>
        <v>0</v>
      </c>
      <c r="CY197" s="39">
        <f t="shared" si="706"/>
        <v>0</v>
      </c>
      <c r="CZ197" s="39">
        <f t="shared" si="707"/>
        <v>0</v>
      </c>
      <c r="DA197" s="39">
        <f t="shared" si="708"/>
        <v>0</v>
      </c>
      <c r="DB197" s="39">
        <f t="shared" si="709"/>
        <v>0</v>
      </c>
      <c r="DC197" s="39">
        <f t="shared" si="710"/>
        <v>0</v>
      </c>
      <c r="DD197" s="39">
        <f>+HLOOKUP('Reporte Evolución Mensual'!$F$2-2,$CR$2:$DC$251, Input!$DG197, FALSE)</f>
        <v>0</v>
      </c>
      <c r="DE197" s="39">
        <f>+HLOOKUP('Reporte Evolución Mensual'!$F$2-1,$CR$2:$DC$251, Input!$DG197, FALSE)</f>
        <v>0</v>
      </c>
      <c r="DF197" s="39">
        <f>+HLOOKUP('Reporte Evolución Mensual'!$F$2,$CR$2:$DC$251, Input!$DG197, FALSE)</f>
        <v>0</v>
      </c>
      <c r="DG197" s="40">
        <f t="shared" si="479"/>
        <v>197</v>
      </c>
      <c r="DH197" s="39"/>
      <c r="DI197" s="39"/>
      <c r="DJ197" s="39"/>
      <c r="DK197" s="39"/>
      <c r="DL197" s="39"/>
      <c r="DM197" s="39"/>
      <c r="DN197" s="39"/>
      <c r="DO197" s="58"/>
      <c r="DP197" s="58"/>
      <c r="DQ197" s="58"/>
      <c r="DR197" s="58"/>
      <c r="DS197" s="1"/>
      <c r="DT197" s="1"/>
      <c r="DU197" s="1"/>
      <c r="DV197" s="345" t="s">
        <v>108</v>
      </c>
    </row>
    <row r="198" spans="1:126" ht="15" customHeight="1" x14ac:dyDescent="0.3">
      <c r="A198" s="1" t="str">
        <f t="shared" si="713"/>
        <v>ADIFSE</v>
      </c>
      <c r="B198" s="1" t="str">
        <f t="shared" si="714"/>
        <v>ADIFSE</v>
      </c>
      <c r="C198" s="1" t="str">
        <f t="shared" si="715"/>
        <v>MAY</v>
      </c>
      <c r="D198" s="78" t="s">
        <v>108</v>
      </c>
      <c r="E198" s="128" t="str">
        <f>CONCATENATE(H198," - ",I198)</f>
        <v>Transferencias - Administración Nacional</v>
      </c>
      <c r="F198" s="131" t="s">
        <v>242</v>
      </c>
      <c r="G198" s="77" t="s">
        <v>230</v>
      </c>
      <c r="H198" s="81" t="s">
        <v>222</v>
      </c>
      <c r="I198" s="81" t="s">
        <v>243</v>
      </c>
      <c r="J198" s="32" t="s">
        <v>289</v>
      </c>
      <c r="K198" s="38"/>
      <c r="L198" s="60">
        <f t="shared" ref="L198:BW198" si="730">SUM(L196:L197)</f>
        <v>0</v>
      </c>
      <c r="M198" s="60">
        <f t="shared" si="730"/>
        <v>0</v>
      </c>
      <c r="N198" s="60">
        <f t="shared" si="730"/>
        <v>0</v>
      </c>
      <c r="O198" s="60">
        <f t="shared" si="730"/>
        <v>0</v>
      </c>
      <c r="P198" s="60">
        <f t="shared" si="730"/>
        <v>0</v>
      </c>
      <c r="Q198" s="82">
        <f t="shared" si="730"/>
        <v>0</v>
      </c>
      <c r="R198" s="60">
        <f t="shared" si="730"/>
        <v>0</v>
      </c>
      <c r="S198" s="60">
        <f t="shared" si="730"/>
        <v>0</v>
      </c>
      <c r="T198" s="60">
        <f t="shared" si="730"/>
        <v>0</v>
      </c>
      <c r="U198" s="60">
        <f t="shared" si="730"/>
        <v>0</v>
      </c>
      <c r="V198" s="60">
        <f t="shared" si="730"/>
        <v>0</v>
      </c>
      <c r="W198" s="83">
        <f t="shared" si="730"/>
        <v>0</v>
      </c>
      <c r="X198" s="60">
        <f t="shared" si="730"/>
        <v>0</v>
      </c>
      <c r="Y198" s="60">
        <f t="shared" si="730"/>
        <v>0</v>
      </c>
      <c r="Z198" s="60">
        <f t="shared" si="730"/>
        <v>0</v>
      </c>
      <c r="AA198" s="60">
        <f t="shared" si="730"/>
        <v>0</v>
      </c>
      <c r="AB198" s="60">
        <f t="shared" si="730"/>
        <v>0</v>
      </c>
      <c r="AC198" s="83">
        <f t="shared" si="730"/>
        <v>0</v>
      </c>
      <c r="AD198" s="60">
        <f t="shared" si="730"/>
        <v>0</v>
      </c>
      <c r="AE198" s="60">
        <f t="shared" si="730"/>
        <v>0</v>
      </c>
      <c r="AF198" s="60">
        <f t="shared" si="730"/>
        <v>0</v>
      </c>
      <c r="AG198" s="60">
        <f t="shared" si="730"/>
        <v>0</v>
      </c>
      <c r="AH198" s="60">
        <f t="shared" si="730"/>
        <v>0</v>
      </c>
      <c r="AI198" s="83">
        <f t="shared" si="730"/>
        <v>0</v>
      </c>
      <c r="AJ198" s="60">
        <f t="shared" si="730"/>
        <v>0</v>
      </c>
      <c r="AK198" s="60">
        <f t="shared" si="730"/>
        <v>0</v>
      </c>
      <c r="AL198" s="60">
        <f t="shared" si="730"/>
        <v>0</v>
      </c>
      <c r="AM198" s="60">
        <f t="shared" si="730"/>
        <v>0</v>
      </c>
      <c r="AN198" s="60">
        <f t="shared" si="730"/>
        <v>0</v>
      </c>
      <c r="AO198" s="83">
        <f t="shared" si="730"/>
        <v>0</v>
      </c>
      <c r="AP198" s="60">
        <f t="shared" si="730"/>
        <v>0</v>
      </c>
      <c r="AQ198" s="60">
        <f t="shared" si="730"/>
        <v>0</v>
      </c>
      <c r="AR198" s="60">
        <f t="shared" si="730"/>
        <v>0</v>
      </c>
      <c r="AS198" s="60">
        <f t="shared" si="730"/>
        <v>0</v>
      </c>
      <c r="AT198" s="60">
        <f t="shared" si="730"/>
        <v>0</v>
      </c>
      <c r="AU198" s="83">
        <f t="shared" si="730"/>
        <v>0</v>
      </c>
      <c r="AV198" s="60">
        <f t="shared" si="730"/>
        <v>0</v>
      </c>
      <c r="AW198" s="60">
        <f t="shared" si="730"/>
        <v>0</v>
      </c>
      <c r="AX198" s="60">
        <f t="shared" si="730"/>
        <v>0</v>
      </c>
      <c r="AY198" s="60">
        <f t="shared" si="730"/>
        <v>0</v>
      </c>
      <c r="AZ198" s="60">
        <f t="shared" si="730"/>
        <v>0</v>
      </c>
      <c r="BA198" s="83">
        <f t="shared" si="730"/>
        <v>0</v>
      </c>
      <c r="BB198" s="60">
        <f t="shared" si="730"/>
        <v>0</v>
      </c>
      <c r="BC198" s="60">
        <f t="shared" si="730"/>
        <v>0</v>
      </c>
      <c r="BD198" s="60">
        <f t="shared" si="730"/>
        <v>0</v>
      </c>
      <c r="BE198" s="60">
        <f t="shared" si="730"/>
        <v>0</v>
      </c>
      <c r="BF198" s="60">
        <f t="shared" si="730"/>
        <v>0</v>
      </c>
      <c r="BG198" s="83">
        <f t="shared" si="730"/>
        <v>0</v>
      </c>
      <c r="BH198" s="60">
        <f t="shared" si="730"/>
        <v>0</v>
      </c>
      <c r="BI198" s="60">
        <f t="shared" si="730"/>
        <v>0</v>
      </c>
      <c r="BJ198" s="60">
        <f t="shared" si="730"/>
        <v>0</v>
      </c>
      <c r="BK198" s="60">
        <f t="shared" si="730"/>
        <v>0</v>
      </c>
      <c r="BL198" s="60">
        <f t="shared" si="730"/>
        <v>0</v>
      </c>
      <c r="BM198" s="83">
        <f t="shared" si="730"/>
        <v>0</v>
      </c>
      <c r="BN198" s="60">
        <f t="shared" si="730"/>
        <v>0</v>
      </c>
      <c r="BO198" s="60">
        <f t="shared" si="730"/>
        <v>0</v>
      </c>
      <c r="BP198" s="60">
        <f t="shared" si="730"/>
        <v>0</v>
      </c>
      <c r="BQ198" s="60">
        <f t="shared" si="730"/>
        <v>0</v>
      </c>
      <c r="BR198" s="60">
        <f t="shared" si="730"/>
        <v>0</v>
      </c>
      <c r="BS198" s="83">
        <f t="shared" si="730"/>
        <v>0</v>
      </c>
      <c r="BT198" s="60">
        <f t="shared" si="730"/>
        <v>0</v>
      </c>
      <c r="BU198" s="60">
        <f t="shared" si="730"/>
        <v>0</v>
      </c>
      <c r="BV198" s="60">
        <f t="shared" si="730"/>
        <v>0</v>
      </c>
      <c r="BW198" s="60">
        <f t="shared" si="730"/>
        <v>0</v>
      </c>
      <c r="BX198" s="60">
        <f t="shared" ref="BX198:CK198" si="731">SUM(BX196:BX197)</f>
        <v>0</v>
      </c>
      <c r="BY198" s="83">
        <f t="shared" si="731"/>
        <v>0</v>
      </c>
      <c r="BZ198" s="60">
        <f t="shared" si="731"/>
        <v>0</v>
      </c>
      <c r="CA198" s="60">
        <f t="shared" si="731"/>
        <v>0</v>
      </c>
      <c r="CB198" s="60">
        <f t="shared" si="731"/>
        <v>0</v>
      </c>
      <c r="CC198" s="60">
        <f t="shared" si="731"/>
        <v>0</v>
      </c>
      <c r="CD198" s="60">
        <f t="shared" si="731"/>
        <v>0</v>
      </c>
      <c r="CE198" s="83">
        <f t="shared" si="731"/>
        <v>0</v>
      </c>
      <c r="CF198" s="60">
        <f t="shared" si="731"/>
        <v>0</v>
      </c>
      <c r="CG198" s="60">
        <f t="shared" si="731"/>
        <v>0</v>
      </c>
      <c r="CH198" s="60">
        <f t="shared" si="731"/>
        <v>0</v>
      </c>
      <c r="CI198" s="60">
        <f t="shared" si="731"/>
        <v>0</v>
      </c>
      <c r="CJ198" s="60">
        <f t="shared" si="731"/>
        <v>0</v>
      </c>
      <c r="CK198" s="83">
        <f t="shared" si="731"/>
        <v>0</v>
      </c>
      <c r="CL198" s="82">
        <f t="shared" si="698"/>
        <v>0</v>
      </c>
      <c r="CM198" s="82">
        <f t="shared" si="698"/>
        <v>0</v>
      </c>
      <c r="CN198" s="82">
        <f t="shared" si="698"/>
        <v>0</v>
      </c>
      <c r="CO198" s="82">
        <f t="shared" si="698"/>
        <v>0</v>
      </c>
      <c r="CP198" s="82">
        <f t="shared" si="698"/>
        <v>0</v>
      </c>
      <c r="CQ198" s="82">
        <f t="shared" si="698"/>
        <v>0</v>
      </c>
      <c r="CR198" s="37">
        <f t="shared" si="699"/>
        <v>0</v>
      </c>
      <c r="CS198" s="39">
        <f t="shared" si="700"/>
        <v>0</v>
      </c>
      <c r="CT198" s="53">
        <f t="shared" si="701"/>
        <v>0</v>
      </c>
      <c r="CU198" s="39">
        <f t="shared" si="702"/>
        <v>0</v>
      </c>
      <c r="CV198" s="39">
        <f t="shared" si="703"/>
        <v>0</v>
      </c>
      <c r="CW198" s="39">
        <f t="shared" si="704"/>
        <v>0</v>
      </c>
      <c r="CX198" s="39">
        <f t="shared" si="705"/>
        <v>0</v>
      </c>
      <c r="CY198" s="39">
        <f t="shared" si="706"/>
        <v>0</v>
      </c>
      <c r="CZ198" s="39">
        <f t="shared" si="707"/>
        <v>0</v>
      </c>
      <c r="DA198" s="39">
        <f t="shared" si="708"/>
        <v>0</v>
      </c>
      <c r="DB198" s="39">
        <f t="shared" si="709"/>
        <v>0</v>
      </c>
      <c r="DC198" s="39">
        <f t="shared" si="710"/>
        <v>0</v>
      </c>
      <c r="DD198" s="39">
        <f>+HLOOKUP('Reporte Evolución Mensual'!$F$2-2,$CR$2:$DC$251, Input!$DG198, FALSE)</f>
        <v>0</v>
      </c>
      <c r="DE198" s="39">
        <f>+HLOOKUP('Reporte Evolución Mensual'!$F$2-1,$CR$2:$DC$251, Input!$DG198, FALSE)</f>
        <v>0</v>
      </c>
      <c r="DF198" s="39">
        <f>+HLOOKUP('Reporte Evolución Mensual'!$F$2,$CR$2:$DC$251, Input!$DG198, FALSE)</f>
        <v>0</v>
      </c>
      <c r="DG198" s="40">
        <f t="shared" si="479"/>
        <v>198</v>
      </c>
      <c r="DH198" s="84"/>
      <c r="DI198" s="84"/>
      <c r="DJ198" s="84"/>
      <c r="DK198" s="84"/>
      <c r="DL198" s="84"/>
      <c r="DM198" s="84"/>
      <c r="DN198" s="84"/>
      <c r="DO198" s="130"/>
      <c r="DP198" s="130"/>
      <c r="DQ198" s="130"/>
      <c r="DR198" s="130"/>
      <c r="DS198" s="78"/>
      <c r="DT198" s="78"/>
      <c r="DU198" s="78"/>
      <c r="DV198" s="345" t="s">
        <v>163</v>
      </c>
    </row>
    <row r="199" spans="1:126" ht="15" customHeight="1" x14ac:dyDescent="0.3">
      <c r="A199" s="1" t="str">
        <f t="shared" si="713"/>
        <v>ADIFSE</v>
      </c>
      <c r="B199" s="1" t="str">
        <f t="shared" si="714"/>
        <v>ADIFSE</v>
      </c>
      <c r="C199" s="1" t="str">
        <f t="shared" si="715"/>
        <v>MAY</v>
      </c>
      <c r="D199" s="1" t="s">
        <v>163</v>
      </c>
      <c r="E199" s="123" t="str">
        <f t="shared" ref="E199:E202" si="732">CONCATENATE(H199," - ",I199)</f>
        <v>Transferencias - ADIF</v>
      </c>
      <c r="F199" s="120" t="s">
        <v>212</v>
      </c>
      <c r="G199" s="16" t="s">
        <v>230</v>
      </c>
      <c r="H199" s="7" t="s">
        <v>222</v>
      </c>
      <c r="I199" s="7" t="s">
        <v>213</v>
      </c>
      <c r="J199" s="32" t="s">
        <v>289</v>
      </c>
      <c r="K199" s="38"/>
      <c r="L199" s="51"/>
      <c r="M199" s="51"/>
      <c r="N199" s="51"/>
      <c r="O199" s="51"/>
      <c r="P199" s="51"/>
      <c r="Q199" s="35">
        <f t="shared" ref="Q199:Q202" si="733">SUM(L199:P199)</f>
        <v>0</v>
      </c>
      <c r="R199" s="51"/>
      <c r="S199" s="51"/>
      <c r="T199" s="51"/>
      <c r="U199" s="51"/>
      <c r="V199" s="51"/>
      <c r="W199" s="36">
        <f t="shared" ref="W199:W202" si="734">SUM(R199:V199)</f>
        <v>0</v>
      </c>
      <c r="X199" s="51"/>
      <c r="Y199" s="51"/>
      <c r="Z199" s="51"/>
      <c r="AA199" s="51"/>
      <c r="AB199" s="51"/>
      <c r="AC199" s="52">
        <f t="shared" ref="AC199:AC202" si="735">SUM(X199:AB199)</f>
        <v>0</v>
      </c>
      <c r="AD199" s="51"/>
      <c r="AE199" s="51"/>
      <c r="AF199" s="51"/>
      <c r="AG199" s="51"/>
      <c r="AH199" s="51"/>
      <c r="AI199" s="52">
        <f t="shared" ref="AI199:AI202" si="736">SUM(AD199:AH199)</f>
        <v>0</v>
      </c>
      <c r="AJ199" s="51"/>
      <c r="AK199" s="51"/>
      <c r="AL199" s="51"/>
      <c r="AM199" s="51"/>
      <c r="AN199" s="51"/>
      <c r="AO199" s="52">
        <f t="shared" ref="AO199:AO202" si="737">SUM(AJ199:AN199)</f>
        <v>0</v>
      </c>
      <c r="AP199" s="51"/>
      <c r="AQ199" s="51"/>
      <c r="AR199" s="51"/>
      <c r="AS199" s="51"/>
      <c r="AT199" s="51"/>
      <c r="AU199" s="52">
        <f t="shared" ref="AU199:AU202" si="738">SUM(AP199:AT199)</f>
        <v>0</v>
      </c>
      <c r="AV199" s="51"/>
      <c r="AW199" s="51"/>
      <c r="AX199" s="51"/>
      <c r="AY199" s="51"/>
      <c r="AZ199" s="51"/>
      <c r="BA199" s="52">
        <f t="shared" ref="BA199:BA202" si="739">SUM(AV199:AZ199)</f>
        <v>0</v>
      </c>
      <c r="BB199" s="51"/>
      <c r="BC199" s="51"/>
      <c r="BD199" s="51"/>
      <c r="BE199" s="51"/>
      <c r="BF199" s="51"/>
      <c r="BG199" s="52">
        <f t="shared" ref="BG199:BG202" si="740">SUM(BB199:BF199)</f>
        <v>0</v>
      </c>
      <c r="BH199" s="51"/>
      <c r="BI199" s="51"/>
      <c r="BJ199" s="51"/>
      <c r="BK199" s="51"/>
      <c r="BL199" s="51"/>
      <c r="BM199" s="52">
        <f t="shared" ref="BM199:BM202" si="741">SUM(BH199:BL199)</f>
        <v>0</v>
      </c>
      <c r="BN199" s="51"/>
      <c r="BO199" s="51"/>
      <c r="BP199" s="51"/>
      <c r="BQ199" s="51"/>
      <c r="BR199" s="51"/>
      <c r="BS199" s="52">
        <f t="shared" ref="BS199:BS202" si="742">SUM(BN199:BR199)</f>
        <v>0</v>
      </c>
      <c r="BT199" s="51"/>
      <c r="BU199" s="51"/>
      <c r="BV199" s="51"/>
      <c r="BW199" s="51"/>
      <c r="BX199" s="51"/>
      <c r="BY199" s="52">
        <f t="shared" ref="BY199:BY202" si="743">SUM(BT199:BX199)</f>
        <v>0</v>
      </c>
      <c r="BZ199" s="51"/>
      <c r="CA199" s="51"/>
      <c r="CB199" s="51"/>
      <c r="CC199" s="51"/>
      <c r="CD199" s="51"/>
      <c r="CE199" s="52">
        <f t="shared" ref="CE199:CE202" si="744">SUM(BZ199:CD199)</f>
        <v>0</v>
      </c>
      <c r="CF199" s="51">
        <v>0</v>
      </c>
      <c r="CG199" s="51"/>
      <c r="CH199" s="51"/>
      <c r="CI199" s="51"/>
      <c r="CJ199" s="51"/>
      <c r="CK199" s="68">
        <f t="shared" ref="CK199:CK202" si="745">SUM(CF199:CJ199)</f>
        <v>0</v>
      </c>
      <c r="CL199" s="67">
        <f t="shared" si="698"/>
        <v>0</v>
      </c>
      <c r="CM199" s="67">
        <f t="shared" si="698"/>
        <v>0</v>
      </c>
      <c r="CN199" s="67">
        <f t="shared" si="698"/>
        <v>0</v>
      </c>
      <c r="CO199" s="67">
        <f t="shared" si="698"/>
        <v>0</v>
      </c>
      <c r="CP199" s="67">
        <f t="shared" si="698"/>
        <v>0</v>
      </c>
      <c r="CQ199" s="67">
        <f t="shared" si="698"/>
        <v>0</v>
      </c>
      <c r="CR199" s="37">
        <f t="shared" si="699"/>
        <v>0</v>
      </c>
      <c r="CS199" s="39">
        <f t="shared" si="700"/>
        <v>0</v>
      </c>
      <c r="CT199" s="53">
        <f t="shared" si="701"/>
        <v>0</v>
      </c>
      <c r="CU199" s="39">
        <f t="shared" si="702"/>
        <v>0</v>
      </c>
      <c r="CV199" s="39">
        <f t="shared" si="703"/>
        <v>0</v>
      </c>
      <c r="CW199" s="39">
        <f t="shared" si="704"/>
        <v>0</v>
      </c>
      <c r="CX199" s="39">
        <f t="shared" si="705"/>
        <v>0</v>
      </c>
      <c r="CY199" s="39">
        <f t="shared" si="706"/>
        <v>0</v>
      </c>
      <c r="CZ199" s="39">
        <f t="shared" si="707"/>
        <v>0</v>
      </c>
      <c r="DA199" s="39">
        <f t="shared" si="708"/>
        <v>0</v>
      </c>
      <c r="DB199" s="39">
        <f t="shared" si="709"/>
        <v>0</v>
      </c>
      <c r="DC199" s="39">
        <f t="shared" si="710"/>
        <v>0</v>
      </c>
      <c r="DD199" s="39">
        <f>+HLOOKUP('Reporte Evolución Mensual'!$F$2-2,$CR$2:$DC$251, Input!$DG199, FALSE)</f>
        <v>0</v>
      </c>
      <c r="DE199" s="39">
        <f>+HLOOKUP('Reporte Evolución Mensual'!$F$2-1,$CR$2:$DC$251, Input!$DG199, FALSE)</f>
        <v>0</v>
      </c>
      <c r="DF199" s="39">
        <f>+HLOOKUP('Reporte Evolución Mensual'!$F$2,$CR$2:$DC$251, Input!$DG199, FALSE)</f>
        <v>0</v>
      </c>
      <c r="DG199" s="40">
        <f t="shared" si="479"/>
        <v>199</v>
      </c>
      <c r="DH199" s="39"/>
      <c r="DI199" s="39"/>
      <c r="DJ199" s="39"/>
      <c r="DK199" s="39"/>
      <c r="DL199" s="39"/>
      <c r="DM199" s="39"/>
      <c r="DN199" s="39"/>
      <c r="DO199" s="58"/>
      <c r="DP199" s="58"/>
      <c r="DQ199" s="58"/>
      <c r="DR199" s="58"/>
      <c r="DS199" s="1"/>
      <c r="DT199" s="1"/>
      <c r="DU199" s="1"/>
      <c r="DV199" s="345"/>
    </row>
    <row r="200" spans="1:126" ht="15" customHeight="1" x14ac:dyDescent="0.3">
      <c r="A200" s="1" t="str">
        <f t="shared" si="713"/>
        <v>ADIFSE</v>
      </c>
      <c r="B200" s="1" t="str">
        <f t="shared" si="714"/>
        <v>ADIFSE</v>
      </c>
      <c r="C200" s="1" t="str">
        <f t="shared" si="715"/>
        <v>MAY</v>
      </c>
      <c r="D200" s="1" t="s">
        <v>163</v>
      </c>
      <c r="E200" s="123" t="str">
        <f t="shared" si="732"/>
        <v>Transferencias - SOFSE</v>
      </c>
      <c r="F200" s="120" t="s">
        <v>214</v>
      </c>
      <c r="G200" s="16" t="s">
        <v>230</v>
      </c>
      <c r="H200" s="7" t="s">
        <v>222</v>
      </c>
      <c r="I200" s="7" t="s">
        <v>215</v>
      </c>
      <c r="J200" s="32" t="s">
        <v>289</v>
      </c>
      <c r="K200" s="38"/>
      <c r="L200" s="51"/>
      <c r="M200" s="51"/>
      <c r="N200" s="51"/>
      <c r="O200" s="51"/>
      <c r="P200" s="51"/>
      <c r="Q200" s="35">
        <f t="shared" si="733"/>
        <v>0</v>
      </c>
      <c r="R200" s="51"/>
      <c r="S200" s="51"/>
      <c r="T200" s="51"/>
      <c r="U200" s="51"/>
      <c r="V200" s="51"/>
      <c r="W200" s="36">
        <f t="shared" si="734"/>
        <v>0</v>
      </c>
      <c r="X200" s="51"/>
      <c r="Y200" s="51"/>
      <c r="Z200" s="51"/>
      <c r="AA200" s="51"/>
      <c r="AB200" s="51"/>
      <c r="AC200" s="52">
        <f t="shared" si="735"/>
        <v>0</v>
      </c>
      <c r="AD200" s="51"/>
      <c r="AE200" s="51"/>
      <c r="AF200" s="51"/>
      <c r="AG200" s="51"/>
      <c r="AH200" s="51"/>
      <c r="AI200" s="52">
        <f t="shared" si="736"/>
        <v>0</v>
      </c>
      <c r="AJ200" s="51"/>
      <c r="AK200" s="51"/>
      <c r="AL200" s="51"/>
      <c r="AM200" s="51"/>
      <c r="AN200" s="51"/>
      <c r="AO200" s="52">
        <f t="shared" si="737"/>
        <v>0</v>
      </c>
      <c r="AP200" s="51"/>
      <c r="AQ200" s="51"/>
      <c r="AR200" s="51"/>
      <c r="AS200" s="51"/>
      <c r="AT200" s="51"/>
      <c r="AU200" s="52">
        <f t="shared" si="738"/>
        <v>0</v>
      </c>
      <c r="AV200" s="51"/>
      <c r="AW200" s="51"/>
      <c r="AX200" s="51"/>
      <c r="AY200" s="51"/>
      <c r="AZ200" s="51"/>
      <c r="BA200" s="52">
        <f t="shared" si="739"/>
        <v>0</v>
      </c>
      <c r="BB200" s="51"/>
      <c r="BC200" s="51"/>
      <c r="BD200" s="51"/>
      <c r="BE200" s="51"/>
      <c r="BF200" s="51"/>
      <c r="BG200" s="52">
        <f t="shared" si="740"/>
        <v>0</v>
      </c>
      <c r="BH200" s="51"/>
      <c r="BI200" s="51"/>
      <c r="BJ200" s="51"/>
      <c r="BK200" s="51"/>
      <c r="BL200" s="51"/>
      <c r="BM200" s="52">
        <f t="shared" si="741"/>
        <v>0</v>
      </c>
      <c r="BN200" s="51"/>
      <c r="BO200" s="51"/>
      <c r="BP200" s="51"/>
      <c r="BQ200" s="51"/>
      <c r="BR200" s="51"/>
      <c r="BS200" s="52">
        <f t="shared" si="742"/>
        <v>0</v>
      </c>
      <c r="BT200" s="51"/>
      <c r="BU200" s="51"/>
      <c r="BV200" s="51"/>
      <c r="BW200" s="51"/>
      <c r="BX200" s="51"/>
      <c r="BY200" s="52">
        <f t="shared" si="743"/>
        <v>0</v>
      </c>
      <c r="BZ200" s="51"/>
      <c r="CA200" s="51"/>
      <c r="CB200" s="51"/>
      <c r="CC200" s="51"/>
      <c r="CD200" s="51"/>
      <c r="CE200" s="52">
        <f t="shared" si="744"/>
        <v>0</v>
      </c>
      <c r="CF200" s="51"/>
      <c r="CG200" s="51"/>
      <c r="CH200" s="51"/>
      <c r="CI200" s="51"/>
      <c r="CJ200" s="51"/>
      <c r="CK200" s="68">
        <f t="shared" si="745"/>
        <v>0</v>
      </c>
      <c r="CL200" s="67">
        <f t="shared" si="698"/>
        <v>0</v>
      </c>
      <c r="CM200" s="67">
        <f t="shared" si="698"/>
        <v>0</v>
      </c>
      <c r="CN200" s="67">
        <f t="shared" si="698"/>
        <v>0</v>
      </c>
      <c r="CO200" s="67">
        <f t="shared" si="698"/>
        <v>0</v>
      </c>
      <c r="CP200" s="67">
        <f t="shared" si="698"/>
        <v>0</v>
      </c>
      <c r="CQ200" s="67">
        <f t="shared" si="698"/>
        <v>0</v>
      </c>
      <c r="CR200" s="37">
        <f t="shared" si="699"/>
        <v>0</v>
      </c>
      <c r="CS200" s="39">
        <f t="shared" si="700"/>
        <v>0</v>
      </c>
      <c r="CT200" s="53">
        <f t="shared" si="701"/>
        <v>0</v>
      </c>
      <c r="CU200" s="39">
        <f t="shared" si="702"/>
        <v>0</v>
      </c>
      <c r="CV200" s="39">
        <f t="shared" si="703"/>
        <v>0</v>
      </c>
      <c r="CW200" s="39">
        <f t="shared" si="704"/>
        <v>0</v>
      </c>
      <c r="CX200" s="39">
        <f t="shared" si="705"/>
        <v>0</v>
      </c>
      <c r="CY200" s="39">
        <f t="shared" si="706"/>
        <v>0</v>
      </c>
      <c r="CZ200" s="39">
        <f t="shared" si="707"/>
        <v>0</v>
      </c>
      <c r="DA200" s="39">
        <f t="shared" si="708"/>
        <v>0</v>
      </c>
      <c r="DB200" s="39">
        <f t="shared" si="709"/>
        <v>0</v>
      </c>
      <c r="DC200" s="39">
        <f t="shared" si="710"/>
        <v>0</v>
      </c>
      <c r="DD200" s="39">
        <f>+HLOOKUP('Reporte Evolución Mensual'!$F$2-2,$CR$2:$DC$251, Input!$DG200, FALSE)</f>
        <v>0</v>
      </c>
      <c r="DE200" s="39">
        <f>+HLOOKUP('Reporte Evolución Mensual'!$F$2-1,$CR$2:$DC$251, Input!$DG200, FALSE)</f>
        <v>0</v>
      </c>
      <c r="DF200" s="39">
        <f>+HLOOKUP('Reporte Evolución Mensual'!$F$2,$CR$2:$DC$251, Input!$DG200, FALSE)</f>
        <v>0</v>
      </c>
      <c r="DG200" s="40">
        <f t="shared" si="479"/>
        <v>200</v>
      </c>
      <c r="DH200" s="39"/>
      <c r="DI200" s="39"/>
      <c r="DJ200" s="39"/>
      <c r="DK200" s="39"/>
      <c r="DL200" s="39"/>
      <c r="DM200" s="39"/>
      <c r="DN200" s="39"/>
      <c r="DO200" s="58"/>
      <c r="DP200" s="58"/>
      <c r="DQ200" s="58"/>
      <c r="DR200" s="58"/>
      <c r="DS200" s="1"/>
      <c r="DT200" s="1"/>
      <c r="DU200" s="1"/>
      <c r="DV200" s="345" t="s">
        <v>163</v>
      </c>
    </row>
    <row r="201" spans="1:126" ht="15" customHeight="1" x14ac:dyDescent="0.3">
      <c r="A201" s="1" t="str">
        <f t="shared" si="713"/>
        <v>ADIFSE</v>
      </c>
      <c r="B201" s="1" t="str">
        <f t="shared" si="714"/>
        <v>ADIFSE</v>
      </c>
      <c r="C201" s="1" t="str">
        <f t="shared" si="715"/>
        <v>MAY</v>
      </c>
      <c r="D201" s="1" t="s">
        <v>163</v>
      </c>
      <c r="E201" s="123" t="str">
        <f t="shared" si="732"/>
        <v>Transferencias - Fideicomiso ANAC</v>
      </c>
      <c r="F201" s="120" t="s">
        <v>244</v>
      </c>
      <c r="G201" s="16" t="s">
        <v>230</v>
      </c>
      <c r="H201" s="7" t="s">
        <v>222</v>
      </c>
      <c r="I201" s="7" t="s">
        <v>245</v>
      </c>
      <c r="J201" s="32" t="s">
        <v>289</v>
      </c>
      <c r="K201" s="38"/>
      <c r="L201" s="51"/>
      <c r="M201" s="51"/>
      <c r="N201" s="51"/>
      <c r="O201" s="51"/>
      <c r="P201" s="51"/>
      <c r="Q201" s="35">
        <f t="shared" si="733"/>
        <v>0</v>
      </c>
      <c r="R201" s="51"/>
      <c r="S201" s="51"/>
      <c r="T201" s="51"/>
      <c r="U201" s="51"/>
      <c r="V201" s="51"/>
      <c r="W201" s="36">
        <f t="shared" si="734"/>
        <v>0</v>
      </c>
      <c r="X201" s="51"/>
      <c r="Y201" s="51"/>
      <c r="Z201" s="51"/>
      <c r="AA201" s="51"/>
      <c r="AB201" s="51"/>
      <c r="AC201" s="52">
        <f t="shared" si="735"/>
        <v>0</v>
      </c>
      <c r="AD201" s="51"/>
      <c r="AE201" s="51"/>
      <c r="AF201" s="51"/>
      <c r="AG201" s="51"/>
      <c r="AH201" s="51"/>
      <c r="AI201" s="52">
        <f t="shared" si="736"/>
        <v>0</v>
      </c>
      <c r="AJ201" s="51"/>
      <c r="AK201" s="51"/>
      <c r="AL201" s="51"/>
      <c r="AM201" s="51"/>
      <c r="AN201" s="51"/>
      <c r="AO201" s="52">
        <f t="shared" si="737"/>
        <v>0</v>
      </c>
      <c r="AP201" s="51"/>
      <c r="AQ201" s="51"/>
      <c r="AR201" s="51"/>
      <c r="AS201" s="51"/>
      <c r="AT201" s="51"/>
      <c r="AU201" s="52">
        <f t="shared" si="738"/>
        <v>0</v>
      </c>
      <c r="AV201" s="51"/>
      <c r="AW201" s="51"/>
      <c r="AX201" s="51"/>
      <c r="AY201" s="51"/>
      <c r="AZ201" s="51"/>
      <c r="BA201" s="52">
        <f t="shared" si="739"/>
        <v>0</v>
      </c>
      <c r="BB201" s="51"/>
      <c r="BC201" s="51"/>
      <c r="BD201" s="51"/>
      <c r="BE201" s="51"/>
      <c r="BF201" s="51"/>
      <c r="BG201" s="52">
        <f t="shared" si="740"/>
        <v>0</v>
      </c>
      <c r="BH201" s="51"/>
      <c r="BI201" s="51"/>
      <c r="BJ201" s="51"/>
      <c r="BK201" s="51"/>
      <c r="BL201" s="51"/>
      <c r="BM201" s="52">
        <f t="shared" si="741"/>
        <v>0</v>
      </c>
      <c r="BN201" s="51"/>
      <c r="BO201" s="51"/>
      <c r="BP201" s="51"/>
      <c r="BQ201" s="51"/>
      <c r="BR201" s="51"/>
      <c r="BS201" s="52">
        <f t="shared" si="742"/>
        <v>0</v>
      </c>
      <c r="BT201" s="51"/>
      <c r="BU201" s="51"/>
      <c r="BV201" s="51"/>
      <c r="BW201" s="51"/>
      <c r="BX201" s="51"/>
      <c r="BY201" s="52">
        <f t="shared" si="743"/>
        <v>0</v>
      </c>
      <c r="BZ201" s="51"/>
      <c r="CA201" s="51"/>
      <c r="CB201" s="51"/>
      <c r="CC201" s="51"/>
      <c r="CD201" s="51"/>
      <c r="CE201" s="52">
        <f t="shared" si="744"/>
        <v>0</v>
      </c>
      <c r="CF201" s="51"/>
      <c r="CG201" s="51"/>
      <c r="CH201" s="51"/>
      <c r="CI201" s="51"/>
      <c r="CJ201" s="51"/>
      <c r="CK201" s="68">
        <f t="shared" si="745"/>
        <v>0</v>
      </c>
      <c r="CL201" s="67">
        <f t="shared" si="698"/>
        <v>0</v>
      </c>
      <c r="CM201" s="67">
        <f t="shared" si="698"/>
        <v>0</v>
      </c>
      <c r="CN201" s="67">
        <f t="shared" si="698"/>
        <v>0</v>
      </c>
      <c r="CO201" s="67">
        <f t="shared" si="698"/>
        <v>0</v>
      </c>
      <c r="CP201" s="67">
        <f t="shared" si="698"/>
        <v>0</v>
      </c>
      <c r="CQ201" s="67">
        <f t="shared" si="698"/>
        <v>0</v>
      </c>
      <c r="CR201" s="37">
        <f t="shared" si="699"/>
        <v>0</v>
      </c>
      <c r="CS201" s="39">
        <f t="shared" si="700"/>
        <v>0</v>
      </c>
      <c r="CT201" s="53">
        <f t="shared" si="701"/>
        <v>0</v>
      </c>
      <c r="CU201" s="39">
        <f t="shared" si="702"/>
        <v>0</v>
      </c>
      <c r="CV201" s="39">
        <f t="shared" si="703"/>
        <v>0</v>
      </c>
      <c r="CW201" s="39">
        <f t="shared" si="704"/>
        <v>0</v>
      </c>
      <c r="CX201" s="39">
        <f t="shared" si="705"/>
        <v>0</v>
      </c>
      <c r="CY201" s="39">
        <f t="shared" si="706"/>
        <v>0</v>
      </c>
      <c r="CZ201" s="39">
        <f t="shared" si="707"/>
        <v>0</v>
      </c>
      <c r="DA201" s="39">
        <f t="shared" si="708"/>
        <v>0</v>
      </c>
      <c r="DB201" s="39">
        <f t="shared" si="709"/>
        <v>0</v>
      </c>
      <c r="DC201" s="39">
        <f t="shared" si="710"/>
        <v>0</v>
      </c>
      <c r="DD201" s="39">
        <f>+HLOOKUP('Reporte Evolución Mensual'!$F$2-2,$CR$2:$DC$251, Input!$DG201, FALSE)</f>
        <v>0</v>
      </c>
      <c r="DE201" s="39">
        <f>+HLOOKUP('Reporte Evolución Mensual'!$F$2-1,$CR$2:$DC$251, Input!$DG201, FALSE)</f>
        <v>0</v>
      </c>
      <c r="DF201" s="39">
        <f>+HLOOKUP('Reporte Evolución Mensual'!$F$2,$CR$2:$DC$251, Input!$DG201, FALSE)</f>
        <v>0</v>
      </c>
      <c r="DG201" s="40">
        <f t="shared" si="479"/>
        <v>201</v>
      </c>
      <c r="DH201" s="39"/>
      <c r="DI201" s="39"/>
      <c r="DJ201" s="39"/>
      <c r="DK201" s="39"/>
      <c r="DL201" s="39"/>
      <c r="DM201" s="39"/>
      <c r="DN201" s="39"/>
      <c r="DO201" s="58"/>
      <c r="DP201" s="58"/>
      <c r="DQ201" s="58"/>
      <c r="DR201" s="58"/>
      <c r="DS201" s="1"/>
      <c r="DT201" s="1"/>
      <c r="DU201" s="1"/>
      <c r="DV201" s="345" t="s">
        <v>163</v>
      </c>
    </row>
    <row r="202" spans="1:126" ht="15" customHeight="1" x14ac:dyDescent="0.3">
      <c r="A202" s="1" t="str">
        <f t="shared" si="713"/>
        <v>ADIFSE</v>
      </c>
      <c r="B202" s="1" t="str">
        <f t="shared" si="714"/>
        <v>ADIFSE</v>
      </c>
      <c r="C202" s="1" t="str">
        <f t="shared" si="715"/>
        <v>MAY</v>
      </c>
      <c r="D202" s="1" t="s">
        <v>163</v>
      </c>
      <c r="E202" s="123" t="str">
        <f t="shared" si="732"/>
        <v>Transferencias - Resto</v>
      </c>
      <c r="F202" s="120" t="s">
        <v>218</v>
      </c>
      <c r="G202" s="16" t="s">
        <v>230</v>
      </c>
      <c r="H202" s="7" t="s">
        <v>222</v>
      </c>
      <c r="I202" s="7" t="s">
        <v>208</v>
      </c>
      <c r="J202" s="32" t="s">
        <v>289</v>
      </c>
      <c r="K202" s="38"/>
      <c r="L202" s="51"/>
      <c r="M202" s="51"/>
      <c r="N202" s="51"/>
      <c r="O202" s="51"/>
      <c r="P202" s="51"/>
      <c r="Q202" s="35">
        <f t="shared" si="733"/>
        <v>0</v>
      </c>
      <c r="R202" s="51"/>
      <c r="S202" s="51"/>
      <c r="T202" s="51"/>
      <c r="U202" s="51"/>
      <c r="V202" s="51"/>
      <c r="W202" s="36">
        <f t="shared" si="734"/>
        <v>0</v>
      </c>
      <c r="X202" s="51"/>
      <c r="Y202" s="51"/>
      <c r="Z202" s="51"/>
      <c r="AA202" s="51"/>
      <c r="AB202" s="51"/>
      <c r="AC202" s="52">
        <f t="shared" si="735"/>
        <v>0</v>
      </c>
      <c r="AD202" s="51"/>
      <c r="AE202" s="51"/>
      <c r="AF202" s="51"/>
      <c r="AG202" s="51"/>
      <c r="AH202" s="51"/>
      <c r="AI202" s="52">
        <f t="shared" si="736"/>
        <v>0</v>
      </c>
      <c r="AJ202" s="51"/>
      <c r="AK202" s="51"/>
      <c r="AL202" s="51"/>
      <c r="AM202" s="51"/>
      <c r="AN202" s="51"/>
      <c r="AO202" s="52">
        <f t="shared" si="737"/>
        <v>0</v>
      </c>
      <c r="AP202" s="51"/>
      <c r="AQ202" s="51"/>
      <c r="AR202" s="51"/>
      <c r="AS202" s="51"/>
      <c r="AT202" s="51"/>
      <c r="AU202" s="52">
        <f t="shared" si="738"/>
        <v>0</v>
      </c>
      <c r="AV202" s="51"/>
      <c r="AW202" s="51"/>
      <c r="AX202" s="51"/>
      <c r="AY202" s="51"/>
      <c r="AZ202" s="51"/>
      <c r="BA202" s="52">
        <f t="shared" si="739"/>
        <v>0</v>
      </c>
      <c r="BB202" s="51"/>
      <c r="BC202" s="51"/>
      <c r="BD202" s="51"/>
      <c r="BE202" s="51"/>
      <c r="BF202" s="51"/>
      <c r="BG202" s="52">
        <f t="shared" si="740"/>
        <v>0</v>
      </c>
      <c r="BH202" s="51"/>
      <c r="BI202" s="51"/>
      <c r="BJ202" s="51"/>
      <c r="BK202" s="51"/>
      <c r="BL202" s="51"/>
      <c r="BM202" s="52">
        <f t="shared" si="741"/>
        <v>0</v>
      </c>
      <c r="BN202" s="51"/>
      <c r="BO202" s="51"/>
      <c r="BP202" s="51"/>
      <c r="BQ202" s="51"/>
      <c r="BR202" s="51"/>
      <c r="BS202" s="52">
        <f t="shared" si="742"/>
        <v>0</v>
      </c>
      <c r="BT202" s="51"/>
      <c r="BU202" s="51"/>
      <c r="BV202" s="51"/>
      <c r="BW202" s="51"/>
      <c r="BX202" s="51"/>
      <c r="BY202" s="52">
        <f t="shared" si="743"/>
        <v>0</v>
      </c>
      <c r="BZ202" s="51"/>
      <c r="CA202" s="51"/>
      <c r="CB202" s="51"/>
      <c r="CC202" s="51"/>
      <c r="CD202" s="51"/>
      <c r="CE202" s="52">
        <f t="shared" si="744"/>
        <v>0</v>
      </c>
      <c r="CF202" s="51"/>
      <c r="CG202" s="51"/>
      <c r="CH202" s="51"/>
      <c r="CI202" s="51"/>
      <c r="CJ202" s="51"/>
      <c r="CK202" s="68">
        <f t="shared" si="745"/>
        <v>0</v>
      </c>
      <c r="CL202" s="67">
        <f t="shared" si="698"/>
        <v>0</v>
      </c>
      <c r="CM202" s="67">
        <f t="shared" si="698"/>
        <v>0</v>
      </c>
      <c r="CN202" s="67">
        <f t="shared" si="698"/>
        <v>0</v>
      </c>
      <c r="CO202" s="67">
        <f t="shared" si="698"/>
        <v>0</v>
      </c>
      <c r="CP202" s="67">
        <f t="shared" si="698"/>
        <v>0</v>
      </c>
      <c r="CQ202" s="67">
        <f t="shared" si="698"/>
        <v>0</v>
      </c>
      <c r="CR202" s="37">
        <f t="shared" si="699"/>
        <v>0</v>
      </c>
      <c r="CS202" s="39">
        <f t="shared" si="700"/>
        <v>0</v>
      </c>
      <c r="CT202" s="53">
        <f t="shared" si="701"/>
        <v>0</v>
      </c>
      <c r="CU202" s="39">
        <f t="shared" si="702"/>
        <v>0</v>
      </c>
      <c r="CV202" s="39">
        <f t="shared" si="703"/>
        <v>0</v>
      </c>
      <c r="CW202" s="39">
        <f t="shared" si="704"/>
        <v>0</v>
      </c>
      <c r="CX202" s="39">
        <f t="shared" si="705"/>
        <v>0</v>
      </c>
      <c r="CY202" s="39">
        <f t="shared" si="706"/>
        <v>0</v>
      </c>
      <c r="CZ202" s="39">
        <f t="shared" si="707"/>
        <v>0</v>
      </c>
      <c r="DA202" s="39">
        <f t="shared" si="708"/>
        <v>0</v>
      </c>
      <c r="DB202" s="39">
        <f t="shared" si="709"/>
        <v>0</v>
      </c>
      <c r="DC202" s="39">
        <f t="shared" si="710"/>
        <v>0</v>
      </c>
      <c r="DD202" s="39">
        <f>+HLOOKUP('Reporte Evolución Mensual'!$F$2-2,$CR$2:$DC$251, Input!$DG202, FALSE)</f>
        <v>0</v>
      </c>
      <c r="DE202" s="39">
        <f>+HLOOKUP('Reporte Evolución Mensual'!$F$2-1,$CR$2:$DC$251, Input!$DG202, FALSE)</f>
        <v>0</v>
      </c>
      <c r="DF202" s="39">
        <f>+HLOOKUP('Reporte Evolución Mensual'!$F$2,$CR$2:$DC$251, Input!$DG202, FALSE)</f>
        <v>0</v>
      </c>
      <c r="DG202" s="40">
        <f t="shared" si="479"/>
        <v>202</v>
      </c>
      <c r="DH202" s="39"/>
      <c r="DI202" s="39"/>
      <c r="DJ202" s="39"/>
      <c r="DK202" s="39"/>
      <c r="DL202" s="39"/>
      <c r="DM202" s="39"/>
      <c r="DN202" s="39"/>
      <c r="DO202" s="58"/>
      <c r="DP202" s="58"/>
      <c r="DQ202" s="58"/>
      <c r="DR202" s="58"/>
      <c r="DS202" s="1"/>
      <c r="DT202" s="1"/>
      <c r="DU202" s="1"/>
      <c r="DV202" s="345" t="s">
        <v>108</v>
      </c>
    </row>
    <row r="203" spans="1:126" ht="15" customHeight="1" x14ac:dyDescent="0.3">
      <c r="A203" s="1" t="str">
        <f t="shared" si="713"/>
        <v>ADIFSE</v>
      </c>
      <c r="B203" s="1" t="str">
        <f t="shared" si="714"/>
        <v>ADIFSE</v>
      </c>
      <c r="C203" s="1" t="str">
        <f t="shared" si="715"/>
        <v>MAY</v>
      </c>
      <c r="D203" s="16" t="s">
        <v>108</v>
      </c>
      <c r="E203" s="125" t="str">
        <f>CONCATENATE(H203," - ",I203)</f>
        <v>Transferencias - Empresas Públicas y Otros Entes</v>
      </c>
      <c r="F203" s="120" t="s">
        <v>246</v>
      </c>
      <c r="G203" s="16" t="s">
        <v>230</v>
      </c>
      <c r="H203" s="7" t="s">
        <v>222</v>
      </c>
      <c r="I203" s="7" t="s">
        <v>220</v>
      </c>
      <c r="J203" s="32" t="s">
        <v>289</v>
      </c>
      <c r="K203" s="38"/>
      <c r="L203" s="38">
        <f t="shared" ref="L203:BW203" si="746">SUM(L199:L202)</f>
        <v>0</v>
      </c>
      <c r="M203" s="38">
        <f t="shared" si="746"/>
        <v>0</v>
      </c>
      <c r="N203" s="38">
        <f t="shared" si="746"/>
        <v>0</v>
      </c>
      <c r="O203" s="38">
        <f t="shared" si="746"/>
        <v>0</v>
      </c>
      <c r="P203" s="38">
        <f t="shared" si="746"/>
        <v>0</v>
      </c>
      <c r="Q203" s="35">
        <f t="shared" si="746"/>
        <v>0</v>
      </c>
      <c r="R203" s="38">
        <f t="shared" si="746"/>
        <v>0</v>
      </c>
      <c r="S203" s="38">
        <f t="shared" si="746"/>
        <v>0</v>
      </c>
      <c r="T203" s="38">
        <f t="shared" si="746"/>
        <v>0</v>
      </c>
      <c r="U203" s="38">
        <f t="shared" si="746"/>
        <v>0</v>
      </c>
      <c r="V203" s="38">
        <f t="shared" si="746"/>
        <v>0</v>
      </c>
      <c r="W203" s="36">
        <f t="shared" si="746"/>
        <v>0</v>
      </c>
      <c r="X203" s="38">
        <f t="shared" si="746"/>
        <v>0</v>
      </c>
      <c r="Y203" s="38">
        <f t="shared" si="746"/>
        <v>0</v>
      </c>
      <c r="Z203" s="38">
        <f t="shared" si="746"/>
        <v>0</v>
      </c>
      <c r="AA203" s="38">
        <f t="shared" si="746"/>
        <v>0</v>
      </c>
      <c r="AB203" s="38">
        <f t="shared" si="746"/>
        <v>0</v>
      </c>
      <c r="AC203" s="36">
        <f t="shared" si="746"/>
        <v>0</v>
      </c>
      <c r="AD203" s="38">
        <f t="shared" si="746"/>
        <v>0</v>
      </c>
      <c r="AE203" s="38">
        <f t="shared" si="746"/>
        <v>0</v>
      </c>
      <c r="AF203" s="38">
        <f t="shared" si="746"/>
        <v>0</v>
      </c>
      <c r="AG203" s="38">
        <f t="shared" si="746"/>
        <v>0</v>
      </c>
      <c r="AH203" s="38">
        <f t="shared" si="746"/>
        <v>0</v>
      </c>
      <c r="AI203" s="36">
        <f t="shared" si="746"/>
        <v>0</v>
      </c>
      <c r="AJ203" s="38">
        <f t="shared" si="746"/>
        <v>0</v>
      </c>
      <c r="AK203" s="38">
        <f t="shared" si="746"/>
        <v>0</v>
      </c>
      <c r="AL203" s="38">
        <f t="shared" si="746"/>
        <v>0</v>
      </c>
      <c r="AM203" s="38">
        <f t="shared" si="746"/>
        <v>0</v>
      </c>
      <c r="AN203" s="38">
        <f t="shared" si="746"/>
        <v>0</v>
      </c>
      <c r="AO203" s="36">
        <f t="shared" si="746"/>
        <v>0</v>
      </c>
      <c r="AP203" s="38">
        <f t="shared" si="746"/>
        <v>0</v>
      </c>
      <c r="AQ203" s="38">
        <f t="shared" si="746"/>
        <v>0</v>
      </c>
      <c r="AR203" s="38">
        <f t="shared" si="746"/>
        <v>0</v>
      </c>
      <c r="AS203" s="38">
        <f t="shared" si="746"/>
        <v>0</v>
      </c>
      <c r="AT203" s="38">
        <f t="shared" si="746"/>
        <v>0</v>
      </c>
      <c r="AU203" s="36">
        <f t="shared" si="746"/>
        <v>0</v>
      </c>
      <c r="AV203" s="38">
        <f t="shared" si="746"/>
        <v>0</v>
      </c>
      <c r="AW203" s="38">
        <f t="shared" si="746"/>
        <v>0</v>
      </c>
      <c r="AX203" s="38">
        <f t="shared" si="746"/>
        <v>0</v>
      </c>
      <c r="AY203" s="38">
        <f t="shared" si="746"/>
        <v>0</v>
      </c>
      <c r="AZ203" s="38">
        <f t="shared" si="746"/>
        <v>0</v>
      </c>
      <c r="BA203" s="36">
        <f t="shared" si="746"/>
        <v>0</v>
      </c>
      <c r="BB203" s="38">
        <f t="shared" si="746"/>
        <v>0</v>
      </c>
      <c r="BC203" s="38">
        <f t="shared" si="746"/>
        <v>0</v>
      </c>
      <c r="BD203" s="38">
        <f t="shared" si="746"/>
        <v>0</v>
      </c>
      <c r="BE203" s="38">
        <f t="shared" si="746"/>
        <v>0</v>
      </c>
      <c r="BF203" s="38">
        <f t="shared" si="746"/>
        <v>0</v>
      </c>
      <c r="BG203" s="36">
        <f t="shared" si="746"/>
        <v>0</v>
      </c>
      <c r="BH203" s="38">
        <f t="shared" si="746"/>
        <v>0</v>
      </c>
      <c r="BI203" s="38">
        <f t="shared" si="746"/>
        <v>0</v>
      </c>
      <c r="BJ203" s="38">
        <f t="shared" si="746"/>
        <v>0</v>
      </c>
      <c r="BK203" s="38">
        <f t="shared" si="746"/>
        <v>0</v>
      </c>
      <c r="BL203" s="38">
        <f t="shared" si="746"/>
        <v>0</v>
      </c>
      <c r="BM203" s="36">
        <f t="shared" si="746"/>
        <v>0</v>
      </c>
      <c r="BN203" s="38">
        <f t="shared" si="746"/>
        <v>0</v>
      </c>
      <c r="BO203" s="38">
        <f t="shared" si="746"/>
        <v>0</v>
      </c>
      <c r="BP203" s="38">
        <f t="shared" si="746"/>
        <v>0</v>
      </c>
      <c r="BQ203" s="38">
        <f t="shared" si="746"/>
        <v>0</v>
      </c>
      <c r="BR203" s="38">
        <f t="shared" si="746"/>
        <v>0</v>
      </c>
      <c r="BS203" s="36">
        <f t="shared" si="746"/>
        <v>0</v>
      </c>
      <c r="BT203" s="38">
        <f t="shared" si="746"/>
        <v>0</v>
      </c>
      <c r="BU203" s="38">
        <f t="shared" si="746"/>
        <v>0</v>
      </c>
      <c r="BV203" s="38">
        <f t="shared" si="746"/>
        <v>0</v>
      </c>
      <c r="BW203" s="38">
        <f t="shared" si="746"/>
        <v>0</v>
      </c>
      <c r="BX203" s="38">
        <f t="shared" ref="BX203:CK203" si="747">SUM(BX199:BX202)</f>
        <v>0</v>
      </c>
      <c r="BY203" s="36">
        <f t="shared" si="747"/>
        <v>0</v>
      </c>
      <c r="BZ203" s="38">
        <f t="shared" si="747"/>
        <v>0</v>
      </c>
      <c r="CA203" s="38">
        <f t="shared" si="747"/>
        <v>0</v>
      </c>
      <c r="CB203" s="38">
        <f t="shared" si="747"/>
        <v>0</v>
      </c>
      <c r="CC203" s="38">
        <f t="shared" si="747"/>
        <v>0</v>
      </c>
      <c r="CD203" s="38">
        <f t="shared" si="747"/>
        <v>0</v>
      </c>
      <c r="CE203" s="36">
        <f t="shared" si="747"/>
        <v>0</v>
      </c>
      <c r="CF203" s="38">
        <f t="shared" si="747"/>
        <v>0</v>
      </c>
      <c r="CG203" s="38">
        <f t="shared" si="747"/>
        <v>0</v>
      </c>
      <c r="CH203" s="38">
        <f t="shared" si="747"/>
        <v>0</v>
      </c>
      <c r="CI203" s="38">
        <f t="shared" si="747"/>
        <v>0</v>
      </c>
      <c r="CJ203" s="38">
        <f t="shared" si="747"/>
        <v>0</v>
      </c>
      <c r="CK203" s="71">
        <f t="shared" si="747"/>
        <v>0</v>
      </c>
      <c r="CL203" s="67">
        <f t="shared" si="698"/>
        <v>0</v>
      </c>
      <c r="CM203" s="67">
        <f t="shared" si="698"/>
        <v>0</v>
      </c>
      <c r="CN203" s="67">
        <f t="shared" si="698"/>
        <v>0</v>
      </c>
      <c r="CO203" s="67">
        <f t="shared" si="698"/>
        <v>0</v>
      </c>
      <c r="CP203" s="67">
        <f t="shared" si="698"/>
        <v>0</v>
      </c>
      <c r="CQ203" s="67">
        <f t="shared" si="698"/>
        <v>0</v>
      </c>
      <c r="CR203" s="37">
        <f t="shared" si="699"/>
        <v>0</v>
      </c>
      <c r="CS203" s="39">
        <f t="shared" si="700"/>
        <v>0</v>
      </c>
      <c r="CT203" s="53">
        <f t="shared" si="701"/>
        <v>0</v>
      </c>
      <c r="CU203" s="39">
        <f t="shared" si="702"/>
        <v>0</v>
      </c>
      <c r="CV203" s="39">
        <f t="shared" si="703"/>
        <v>0</v>
      </c>
      <c r="CW203" s="39">
        <f t="shared" si="704"/>
        <v>0</v>
      </c>
      <c r="CX203" s="39">
        <f t="shared" si="705"/>
        <v>0</v>
      </c>
      <c r="CY203" s="39">
        <f t="shared" si="706"/>
        <v>0</v>
      </c>
      <c r="CZ203" s="39">
        <f t="shared" si="707"/>
        <v>0</v>
      </c>
      <c r="DA203" s="39">
        <f t="shared" si="708"/>
        <v>0</v>
      </c>
      <c r="DB203" s="39">
        <f t="shared" si="709"/>
        <v>0</v>
      </c>
      <c r="DC203" s="39">
        <f t="shared" si="710"/>
        <v>0</v>
      </c>
      <c r="DD203" s="39">
        <f>+HLOOKUP('Reporte Evolución Mensual'!$F$2-2,$CR$2:$DC$251, Input!$DG203, FALSE)</f>
        <v>0</v>
      </c>
      <c r="DE203" s="39">
        <f>+HLOOKUP('Reporte Evolución Mensual'!$F$2-1,$CR$2:$DC$251, Input!$DG203, FALSE)</f>
        <v>0</v>
      </c>
      <c r="DF203" s="39">
        <f>+HLOOKUP('Reporte Evolución Mensual'!$F$2,$CR$2:$DC$251, Input!$DG203, FALSE)</f>
        <v>0</v>
      </c>
      <c r="DG203" s="40">
        <f t="shared" si="479"/>
        <v>203</v>
      </c>
      <c r="DH203" s="37"/>
      <c r="DI203" s="37"/>
      <c r="DJ203" s="37"/>
      <c r="DK203" s="37"/>
      <c r="DL203" s="37"/>
      <c r="DM203" s="37"/>
      <c r="DN203" s="37"/>
      <c r="DO203" s="63"/>
      <c r="DP203" s="63"/>
      <c r="DQ203" s="63"/>
      <c r="DR203" s="63"/>
      <c r="DS203" s="16"/>
      <c r="DT203" s="16"/>
      <c r="DU203" s="16"/>
      <c r="DV203" s="345" t="s">
        <v>163</v>
      </c>
    </row>
    <row r="204" spans="1:126" ht="15" customHeight="1" x14ac:dyDescent="0.3">
      <c r="A204" s="1" t="str">
        <f t="shared" si="713"/>
        <v>ADIFSE</v>
      </c>
      <c r="B204" s="1" t="str">
        <f t="shared" si="714"/>
        <v>ADIFSE</v>
      </c>
      <c r="C204" s="1" t="str">
        <f t="shared" si="715"/>
        <v>MAY</v>
      </c>
      <c r="D204" s="41" t="s">
        <v>163</v>
      </c>
      <c r="E204" s="123" t="str">
        <f t="shared" ref="E204:E206" si="748">CONCATENATE(H204," - ",I204)</f>
        <v>Transferencias - Provincias y Municipios</v>
      </c>
      <c r="F204" s="126">
        <v>58</v>
      </c>
      <c r="G204" s="16" t="s">
        <v>230</v>
      </c>
      <c r="H204" s="7" t="s">
        <v>222</v>
      </c>
      <c r="I204" s="7" t="s">
        <v>247</v>
      </c>
      <c r="J204" s="32" t="s">
        <v>289</v>
      </c>
      <c r="K204" s="38"/>
      <c r="L204" s="51"/>
      <c r="M204" s="51"/>
      <c r="N204" s="51"/>
      <c r="O204" s="51"/>
      <c r="P204" s="51"/>
      <c r="Q204" s="67">
        <f t="shared" ref="Q204" si="749">SUM(L204:P204)</f>
        <v>0</v>
      </c>
      <c r="R204" s="51"/>
      <c r="S204" s="51"/>
      <c r="T204" s="51"/>
      <c r="U204" s="51"/>
      <c r="V204" s="51"/>
      <c r="W204" s="68">
        <f t="shared" ref="W204" si="750">SUM(R204:V204)</f>
        <v>0</v>
      </c>
      <c r="X204" s="51"/>
      <c r="Y204" s="51"/>
      <c r="Z204" s="51"/>
      <c r="AA204" s="51"/>
      <c r="AB204" s="51"/>
      <c r="AC204" s="68">
        <f t="shared" ref="AC204" si="751">SUM(X204:AB204)</f>
        <v>0</v>
      </c>
      <c r="AD204" s="51"/>
      <c r="AE204" s="51"/>
      <c r="AF204" s="51"/>
      <c r="AG204" s="51"/>
      <c r="AH204" s="51"/>
      <c r="AI204" s="68">
        <f t="shared" ref="AI204" si="752">SUM(AD204:AH204)</f>
        <v>0</v>
      </c>
      <c r="AJ204" s="51"/>
      <c r="AK204" s="51"/>
      <c r="AL204" s="51"/>
      <c r="AM204" s="51"/>
      <c r="AN204" s="51"/>
      <c r="AO204" s="68">
        <f t="shared" ref="AO204" si="753">SUM(AJ204:AN204)</f>
        <v>0</v>
      </c>
      <c r="AP204" s="51"/>
      <c r="AQ204" s="51"/>
      <c r="AR204" s="51"/>
      <c r="AS204" s="51"/>
      <c r="AT204" s="51"/>
      <c r="AU204" s="68">
        <f t="shared" ref="AU204" si="754">SUM(AP204:AT204)</f>
        <v>0</v>
      </c>
      <c r="AV204" s="51"/>
      <c r="AW204" s="51"/>
      <c r="AX204" s="51"/>
      <c r="AY204" s="51"/>
      <c r="AZ204" s="51"/>
      <c r="BA204" s="68">
        <f t="shared" ref="BA204" si="755">SUM(AV204:AZ204)</f>
        <v>0</v>
      </c>
      <c r="BB204" s="51"/>
      <c r="BC204" s="51"/>
      <c r="BD204" s="51"/>
      <c r="BE204" s="51"/>
      <c r="BF204" s="51"/>
      <c r="BG204" s="68">
        <f t="shared" ref="BG204" si="756">SUM(BB204:BF204)</f>
        <v>0</v>
      </c>
      <c r="BH204" s="51"/>
      <c r="BI204" s="51"/>
      <c r="BJ204" s="51"/>
      <c r="BK204" s="51"/>
      <c r="BL204" s="51"/>
      <c r="BM204" s="68">
        <f t="shared" ref="BM204" si="757">SUM(BH204:BL204)</f>
        <v>0</v>
      </c>
      <c r="BN204" s="51"/>
      <c r="BO204" s="51"/>
      <c r="BP204" s="51"/>
      <c r="BQ204" s="51"/>
      <c r="BR204" s="51"/>
      <c r="BS204" s="68">
        <f t="shared" ref="BS204" si="758">SUM(BN204:BR204)</f>
        <v>0</v>
      </c>
      <c r="BT204" s="51"/>
      <c r="BU204" s="51"/>
      <c r="BV204" s="51"/>
      <c r="BW204" s="51"/>
      <c r="BX204" s="51"/>
      <c r="BY204" s="68">
        <f t="shared" ref="BY204" si="759">SUM(BT204:BX204)</f>
        <v>0</v>
      </c>
      <c r="BZ204" s="51"/>
      <c r="CA204" s="51"/>
      <c r="CB204" s="51"/>
      <c r="CC204" s="51"/>
      <c r="CD204" s="51"/>
      <c r="CE204" s="68">
        <f t="shared" ref="CE204" si="760">SUM(BZ204:CD204)</f>
        <v>0</v>
      </c>
      <c r="CF204" s="51"/>
      <c r="CG204" s="51"/>
      <c r="CH204" s="51"/>
      <c r="CI204" s="51"/>
      <c r="CJ204" s="51"/>
      <c r="CK204" s="68">
        <f t="shared" ref="CK204" si="761">SUM(CF204:CJ204)</f>
        <v>0</v>
      </c>
      <c r="CL204" s="67">
        <f t="shared" si="698"/>
        <v>0</v>
      </c>
      <c r="CM204" s="67">
        <f t="shared" si="698"/>
        <v>0</v>
      </c>
      <c r="CN204" s="67">
        <f t="shared" si="698"/>
        <v>0</v>
      </c>
      <c r="CO204" s="67">
        <f t="shared" si="698"/>
        <v>0</v>
      </c>
      <c r="CP204" s="67">
        <f t="shared" si="698"/>
        <v>0</v>
      </c>
      <c r="CQ204" s="67">
        <f t="shared" si="698"/>
        <v>0</v>
      </c>
      <c r="CR204" s="37">
        <f t="shared" si="699"/>
        <v>0</v>
      </c>
      <c r="CS204" s="39">
        <f t="shared" si="700"/>
        <v>0</v>
      </c>
      <c r="CT204" s="53">
        <f t="shared" si="701"/>
        <v>0</v>
      </c>
      <c r="CU204" s="39">
        <f t="shared" si="702"/>
        <v>0</v>
      </c>
      <c r="CV204" s="39">
        <f t="shared" si="703"/>
        <v>0</v>
      </c>
      <c r="CW204" s="39">
        <f t="shared" si="704"/>
        <v>0</v>
      </c>
      <c r="CX204" s="39">
        <f t="shared" si="705"/>
        <v>0</v>
      </c>
      <c r="CY204" s="39">
        <f t="shared" si="706"/>
        <v>0</v>
      </c>
      <c r="CZ204" s="39">
        <f t="shared" si="707"/>
        <v>0</v>
      </c>
      <c r="DA204" s="39">
        <f t="shared" si="708"/>
        <v>0</v>
      </c>
      <c r="DB204" s="39">
        <f t="shared" si="709"/>
        <v>0</v>
      </c>
      <c r="DC204" s="39">
        <f t="shared" si="710"/>
        <v>0</v>
      </c>
      <c r="DD204" s="39">
        <f>+HLOOKUP('Reporte Evolución Mensual'!$F$2-2,$CR$2:$DC$251, Input!$DG204, FALSE)</f>
        <v>0</v>
      </c>
      <c r="DE204" s="39">
        <f>+HLOOKUP('Reporte Evolución Mensual'!$F$2-1,$CR$2:$DC$251, Input!$DG204, FALSE)</f>
        <v>0</v>
      </c>
      <c r="DF204" s="39">
        <f>+HLOOKUP('Reporte Evolución Mensual'!$F$2,$CR$2:$DC$251, Input!$DG204, FALSE)</f>
        <v>0</v>
      </c>
      <c r="DG204" s="40">
        <f t="shared" si="479"/>
        <v>204</v>
      </c>
      <c r="DH204" s="39"/>
      <c r="DI204" s="39"/>
      <c r="DJ204" s="39"/>
      <c r="DK204" s="39"/>
      <c r="DL204" s="39"/>
      <c r="DM204" s="39"/>
      <c r="DN204" s="39"/>
      <c r="DO204" s="58"/>
      <c r="DP204" s="58"/>
      <c r="DQ204" s="58"/>
      <c r="DR204" s="58"/>
      <c r="DS204" s="41"/>
      <c r="DT204" s="41"/>
      <c r="DU204" s="41"/>
      <c r="DV204" s="345"/>
    </row>
    <row r="205" spans="1:126" ht="15" customHeight="1" x14ac:dyDescent="0.3">
      <c r="A205" s="1" t="str">
        <f t="shared" si="713"/>
        <v>ADIFSE</v>
      </c>
      <c r="B205" s="1" t="str">
        <f t="shared" si="714"/>
        <v>ADIFSE</v>
      </c>
      <c r="C205" s="1" t="str">
        <f t="shared" si="715"/>
        <v>MAY</v>
      </c>
      <c r="D205" s="41" t="s">
        <v>163</v>
      </c>
      <c r="E205" s="123" t="str">
        <f t="shared" si="748"/>
        <v>Transferencias - Otras Transferencias</v>
      </c>
      <c r="F205" s="127" t="s">
        <v>248</v>
      </c>
      <c r="G205" s="16" t="s">
        <v>230</v>
      </c>
      <c r="H205" s="7" t="s">
        <v>222</v>
      </c>
      <c r="I205" s="7" t="s">
        <v>249</v>
      </c>
      <c r="J205" s="32" t="s">
        <v>289</v>
      </c>
      <c r="K205" s="38"/>
      <c r="L205" s="51"/>
      <c r="M205" s="51"/>
      <c r="N205" s="51"/>
      <c r="O205" s="51"/>
      <c r="P205" s="51"/>
      <c r="Q205" s="67">
        <f t="shared" ref="Q205" si="762">SUM(L205:P205)</f>
        <v>0</v>
      </c>
      <c r="R205" s="51"/>
      <c r="S205" s="51"/>
      <c r="T205" s="51"/>
      <c r="U205" s="51"/>
      <c r="V205" s="51"/>
      <c r="W205" s="68">
        <f t="shared" ref="W205" si="763">SUM(R205:V205)</f>
        <v>0</v>
      </c>
      <c r="X205" s="51"/>
      <c r="Y205" s="51"/>
      <c r="Z205" s="51"/>
      <c r="AA205" s="51"/>
      <c r="AB205" s="51"/>
      <c r="AC205" s="68">
        <f t="shared" ref="AC205" si="764">SUM(X205:AB205)</f>
        <v>0</v>
      </c>
      <c r="AD205" s="51"/>
      <c r="AE205" s="51"/>
      <c r="AF205" s="51"/>
      <c r="AG205" s="51"/>
      <c r="AH205" s="51"/>
      <c r="AI205" s="68">
        <f t="shared" ref="AI205" si="765">SUM(AD205:AH205)</f>
        <v>0</v>
      </c>
      <c r="AJ205" s="51"/>
      <c r="AK205" s="51"/>
      <c r="AL205" s="51"/>
      <c r="AM205" s="51"/>
      <c r="AN205" s="51"/>
      <c r="AO205" s="68">
        <f t="shared" ref="AO205" si="766">SUM(AJ205:AN205)</f>
        <v>0</v>
      </c>
      <c r="AP205" s="51"/>
      <c r="AQ205" s="51"/>
      <c r="AR205" s="51"/>
      <c r="AS205" s="51"/>
      <c r="AT205" s="51"/>
      <c r="AU205" s="68">
        <f t="shared" ref="AU205" si="767">SUM(AP205:AT205)</f>
        <v>0</v>
      </c>
      <c r="AV205" s="51"/>
      <c r="AW205" s="51"/>
      <c r="AX205" s="51"/>
      <c r="AY205" s="51"/>
      <c r="AZ205" s="51"/>
      <c r="BA205" s="68">
        <f t="shared" ref="BA205" si="768">SUM(AV205:AZ205)</f>
        <v>0</v>
      </c>
      <c r="BB205" s="51"/>
      <c r="BC205" s="51"/>
      <c r="BD205" s="51"/>
      <c r="BE205" s="51"/>
      <c r="BF205" s="51"/>
      <c r="BG205" s="68">
        <f t="shared" ref="BG205" si="769">SUM(BB205:BF205)</f>
        <v>0</v>
      </c>
      <c r="BH205" s="51"/>
      <c r="BI205" s="51"/>
      <c r="BJ205" s="51"/>
      <c r="BK205" s="51"/>
      <c r="BL205" s="51"/>
      <c r="BM205" s="68">
        <f t="shared" ref="BM205" si="770">SUM(BH205:BL205)</f>
        <v>0</v>
      </c>
      <c r="BN205" s="51"/>
      <c r="BO205" s="51"/>
      <c r="BP205" s="51"/>
      <c r="BQ205" s="51"/>
      <c r="BR205" s="51"/>
      <c r="BS205" s="68">
        <f t="shared" ref="BS205" si="771">SUM(BN205:BR205)</f>
        <v>0</v>
      </c>
      <c r="BT205" s="51"/>
      <c r="BU205" s="51"/>
      <c r="BV205" s="51"/>
      <c r="BW205" s="51"/>
      <c r="BX205" s="51"/>
      <c r="BY205" s="68">
        <f t="shared" ref="BY205" si="772">SUM(BT205:BX205)</f>
        <v>0</v>
      </c>
      <c r="BZ205" s="51"/>
      <c r="CA205" s="51"/>
      <c r="CB205" s="51"/>
      <c r="CC205" s="51"/>
      <c r="CD205" s="51"/>
      <c r="CE205" s="68">
        <f t="shared" ref="CE205" si="773">SUM(BZ205:CD205)</f>
        <v>0</v>
      </c>
      <c r="CF205" s="51"/>
      <c r="CG205" s="51"/>
      <c r="CH205" s="51"/>
      <c r="CI205" s="51"/>
      <c r="CJ205" s="51"/>
      <c r="CK205" s="68">
        <f t="shared" ref="CK205" si="774">SUM(CF205:CJ205)</f>
        <v>0</v>
      </c>
      <c r="CL205" s="67">
        <f t="shared" si="698"/>
        <v>0</v>
      </c>
      <c r="CM205" s="67">
        <f t="shared" si="698"/>
        <v>0</v>
      </c>
      <c r="CN205" s="67">
        <f t="shared" si="698"/>
        <v>0</v>
      </c>
      <c r="CO205" s="67">
        <f t="shared" si="698"/>
        <v>0</v>
      </c>
      <c r="CP205" s="67">
        <f t="shared" si="698"/>
        <v>0</v>
      </c>
      <c r="CQ205" s="67">
        <f t="shared" si="698"/>
        <v>0</v>
      </c>
      <c r="CR205" s="37">
        <f t="shared" si="699"/>
        <v>0</v>
      </c>
      <c r="CS205" s="39">
        <f t="shared" si="700"/>
        <v>0</v>
      </c>
      <c r="CT205" s="53">
        <f t="shared" si="701"/>
        <v>0</v>
      </c>
      <c r="CU205" s="39">
        <f t="shared" si="702"/>
        <v>0</v>
      </c>
      <c r="CV205" s="39">
        <f t="shared" si="703"/>
        <v>0</v>
      </c>
      <c r="CW205" s="39">
        <f t="shared" si="704"/>
        <v>0</v>
      </c>
      <c r="CX205" s="39">
        <f t="shared" si="705"/>
        <v>0</v>
      </c>
      <c r="CY205" s="39">
        <f t="shared" si="706"/>
        <v>0</v>
      </c>
      <c r="CZ205" s="39">
        <f t="shared" si="707"/>
        <v>0</v>
      </c>
      <c r="DA205" s="39">
        <f t="shared" si="708"/>
        <v>0</v>
      </c>
      <c r="DB205" s="39">
        <f t="shared" si="709"/>
        <v>0</v>
      </c>
      <c r="DC205" s="39">
        <f t="shared" si="710"/>
        <v>0</v>
      </c>
      <c r="DD205" s="39">
        <f>+HLOOKUP('Reporte Evolución Mensual'!$F$2-2,$CR$2:$DC$251, Input!$DG205, FALSE)</f>
        <v>0</v>
      </c>
      <c r="DE205" s="39">
        <f>+HLOOKUP('Reporte Evolución Mensual'!$F$2-1,$CR$2:$DC$251, Input!$DG205, FALSE)</f>
        <v>0</v>
      </c>
      <c r="DF205" s="39">
        <f>+HLOOKUP('Reporte Evolución Mensual'!$F$2,$CR$2:$DC$251, Input!$DG205, FALSE)</f>
        <v>0</v>
      </c>
      <c r="DG205" s="40">
        <f t="shared" si="479"/>
        <v>205</v>
      </c>
      <c r="DH205" s="39"/>
      <c r="DI205" s="39"/>
      <c r="DJ205" s="39"/>
      <c r="DK205" s="39"/>
      <c r="DL205" s="39"/>
      <c r="DM205" s="39"/>
      <c r="DN205" s="39"/>
      <c r="DO205" s="58"/>
      <c r="DP205" s="58"/>
      <c r="DQ205" s="58"/>
      <c r="DR205" s="58"/>
      <c r="DS205" s="41"/>
      <c r="DT205" s="41"/>
      <c r="DU205" s="41"/>
      <c r="DV205" s="345" t="s">
        <v>163</v>
      </c>
    </row>
    <row r="206" spans="1:126" ht="15" customHeight="1" x14ac:dyDescent="0.3">
      <c r="A206" s="1" t="str">
        <f t="shared" si="713"/>
        <v>ADIFSE</v>
      </c>
      <c r="B206" s="1" t="str">
        <f t="shared" si="714"/>
        <v>ADIFSE</v>
      </c>
      <c r="C206" s="1" t="str">
        <f t="shared" si="715"/>
        <v>MAY</v>
      </c>
      <c r="D206" s="75" t="s">
        <v>108</v>
      </c>
      <c r="E206" s="122" t="str">
        <f t="shared" si="748"/>
        <v>Transferencias - Total</v>
      </c>
      <c r="F206" s="125">
        <v>5</v>
      </c>
      <c r="G206" s="16" t="s">
        <v>230</v>
      </c>
      <c r="H206" s="7" t="s">
        <v>222</v>
      </c>
      <c r="I206" s="7" t="s">
        <v>173</v>
      </c>
      <c r="J206" s="32" t="s">
        <v>289</v>
      </c>
      <c r="K206" s="38"/>
      <c r="L206" s="38">
        <f>+L195+L198+L203+L204+L205</f>
        <v>0</v>
      </c>
      <c r="M206" s="38">
        <f t="shared" ref="M206:BX206" si="775">+M195+M198+M203+M204+M205</f>
        <v>0</v>
      </c>
      <c r="N206" s="38">
        <f t="shared" si="775"/>
        <v>0</v>
      </c>
      <c r="O206" s="38">
        <f t="shared" si="775"/>
        <v>0</v>
      </c>
      <c r="P206" s="38">
        <f t="shared" si="775"/>
        <v>0</v>
      </c>
      <c r="Q206" s="67">
        <f t="shared" si="775"/>
        <v>0</v>
      </c>
      <c r="R206" s="38">
        <f t="shared" si="775"/>
        <v>0</v>
      </c>
      <c r="S206" s="38">
        <f t="shared" si="775"/>
        <v>0</v>
      </c>
      <c r="T206" s="38">
        <f t="shared" si="775"/>
        <v>0</v>
      </c>
      <c r="U206" s="38">
        <f t="shared" si="775"/>
        <v>0</v>
      </c>
      <c r="V206" s="38">
        <f t="shared" si="775"/>
        <v>0</v>
      </c>
      <c r="W206" s="71">
        <f t="shared" si="775"/>
        <v>0</v>
      </c>
      <c r="X206" s="38">
        <f t="shared" si="775"/>
        <v>0</v>
      </c>
      <c r="Y206" s="38">
        <f t="shared" si="775"/>
        <v>0</v>
      </c>
      <c r="Z206" s="38">
        <f t="shared" si="775"/>
        <v>0</v>
      </c>
      <c r="AA206" s="38">
        <f t="shared" si="775"/>
        <v>0</v>
      </c>
      <c r="AB206" s="38">
        <f t="shared" si="775"/>
        <v>0</v>
      </c>
      <c r="AC206" s="71">
        <f t="shared" si="775"/>
        <v>0</v>
      </c>
      <c r="AD206" s="38">
        <f t="shared" si="775"/>
        <v>0</v>
      </c>
      <c r="AE206" s="38">
        <f t="shared" si="775"/>
        <v>0</v>
      </c>
      <c r="AF206" s="38">
        <f t="shared" si="775"/>
        <v>0</v>
      </c>
      <c r="AG206" s="38">
        <f t="shared" si="775"/>
        <v>0</v>
      </c>
      <c r="AH206" s="38">
        <f t="shared" si="775"/>
        <v>0</v>
      </c>
      <c r="AI206" s="71">
        <f t="shared" si="775"/>
        <v>0</v>
      </c>
      <c r="AJ206" s="38">
        <f t="shared" si="775"/>
        <v>0</v>
      </c>
      <c r="AK206" s="38">
        <f t="shared" si="775"/>
        <v>0</v>
      </c>
      <c r="AL206" s="38">
        <f t="shared" si="775"/>
        <v>0</v>
      </c>
      <c r="AM206" s="38">
        <f t="shared" si="775"/>
        <v>0</v>
      </c>
      <c r="AN206" s="38">
        <f t="shared" si="775"/>
        <v>0</v>
      </c>
      <c r="AO206" s="71">
        <f t="shared" si="775"/>
        <v>0</v>
      </c>
      <c r="AP206" s="38">
        <f t="shared" si="775"/>
        <v>0</v>
      </c>
      <c r="AQ206" s="38">
        <f t="shared" si="775"/>
        <v>0</v>
      </c>
      <c r="AR206" s="38">
        <f t="shared" si="775"/>
        <v>0</v>
      </c>
      <c r="AS206" s="38">
        <f t="shared" si="775"/>
        <v>0</v>
      </c>
      <c r="AT206" s="38">
        <f t="shared" si="775"/>
        <v>0</v>
      </c>
      <c r="AU206" s="71">
        <f t="shared" si="775"/>
        <v>0</v>
      </c>
      <c r="AV206" s="38">
        <f t="shared" si="775"/>
        <v>0</v>
      </c>
      <c r="AW206" s="38">
        <f t="shared" si="775"/>
        <v>0</v>
      </c>
      <c r="AX206" s="38">
        <f t="shared" si="775"/>
        <v>0</v>
      </c>
      <c r="AY206" s="38">
        <f t="shared" si="775"/>
        <v>0</v>
      </c>
      <c r="AZ206" s="38">
        <f t="shared" si="775"/>
        <v>0</v>
      </c>
      <c r="BA206" s="71">
        <f t="shared" si="775"/>
        <v>0</v>
      </c>
      <c r="BB206" s="38">
        <f t="shared" si="775"/>
        <v>0</v>
      </c>
      <c r="BC206" s="38">
        <f t="shared" si="775"/>
        <v>0</v>
      </c>
      <c r="BD206" s="38">
        <f t="shared" si="775"/>
        <v>0</v>
      </c>
      <c r="BE206" s="38">
        <f t="shared" si="775"/>
        <v>0</v>
      </c>
      <c r="BF206" s="38">
        <f t="shared" si="775"/>
        <v>0</v>
      </c>
      <c r="BG206" s="71">
        <f t="shared" si="775"/>
        <v>0</v>
      </c>
      <c r="BH206" s="38">
        <f t="shared" si="775"/>
        <v>0</v>
      </c>
      <c r="BI206" s="38">
        <f t="shared" si="775"/>
        <v>0</v>
      </c>
      <c r="BJ206" s="38">
        <f t="shared" si="775"/>
        <v>0</v>
      </c>
      <c r="BK206" s="38">
        <f t="shared" si="775"/>
        <v>0</v>
      </c>
      <c r="BL206" s="38">
        <f t="shared" si="775"/>
        <v>0</v>
      </c>
      <c r="BM206" s="71">
        <f t="shared" si="775"/>
        <v>0</v>
      </c>
      <c r="BN206" s="38">
        <f t="shared" si="775"/>
        <v>0</v>
      </c>
      <c r="BO206" s="38">
        <f t="shared" si="775"/>
        <v>0</v>
      </c>
      <c r="BP206" s="38">
        <f t="shared" si="775"/>
        <v>0</v>
      </c>
      <c r="BQ206" s="38">
        <f t="shared" si="775"/>
        <v>0</v>
      </c>
      <c r="BR206" s="38">
        <f t="shared" si="775"/>
        <v>0</v>
      </c>
      <c r="BS206" s="71">
        <f t="shared" si="775"/>
        <v>0</v>
      </c>
      <c r="BT206" s="38">
        <f t="shared" si="775"/>
        <v>0</v>
      </c>
      <c r="BU206" s="38">
        <f t="shared" si="775"/>
        <v>0</v>
      </c>
      <c r="BV206" s="38">
        <f t="shared" si="775"/>
        <v>0</v>
      </c>
      <c r="BW206" s="38">
        <f t="shared" si="775"/>
        <v>0</v>
      </c>
      <c r="BX206" s="38">
        <f t="shared" si="775"/>
        <v>0</v>
      </c>
      <c r="BY206" s="71">
        <f t="shared" ref="BY206:CK206" si="776">+BY195+BY198+BY203+BY204+BY205</f>
        <v>0</v>
      </c>
      <c r="BZ206" s="38">
        <f t="shared" si="776"/>
        <v>0</v>
      </c>
      <c r="CA206" s="38">
        <f t="shared" si="776"/>
        <v>0</v>
      </c>
      <c r="CB206" s="38">
        <f t="shared" si="776"/>
        <v>0</v>
      </c>
      <c r="CC206" s="38">
        <f t="shared" si="776"/>
        <v>0</v>
      </c>
      <c r="CD206" s="38">
        <f t="shared" si="776"/>
        <v>0</v>
      </c>
      <c r="CE206" s="71">
        <f t="shared" si="776"/>
        <v>0</v>
      </c>
      <c r="CF206" s="38">
        <f t="shared" si="776"/>
        <v>0</v>
      </c>
      <c r="CG206" s="38">
        <f t="shared" si="776"/>
        <v>0</v>
      </c>
      <c r="CH206" s="38">
        <f t="shared" si="776"/>
        <v>0</v>
      </c>
      <c r="CI206" s="38">
        <f t="shared" si="776"/>
        <v>0</v>
      </c>
      <c r="CJ206" s="38">
        <f t="shared" si="776"/>
        <v>0</v>
      </c>
      <c r="CK206" s="71">
        <f t="shared" si="776"/>
        <v>0</v>
      </c>
      <c r="CL206" s="67">
        <f t="shared" si="698"/>
        <v>0</v>
      </c>
      <c r="CM206" s="67">
        <f t="shared" si="698"/>
        <v>0</v>
      </c>
      <c r="CN206" s="67">
        <f t="shared" si="698"/>
        <v>0</v>
      </c>
      <c r="CO206" s="67">
        <f t="shared" si="698"/>
        <v>0</v>
      </c>
      <c r="CP206" s="67">
        <f t="shared" si="698"/>
        <v>0</v>
      </c>
      <c r="CQ206" s="67">
        <f t="shared" si="698"/>
        <v>0</v>
      </c>
      <c r="CR206" s="37">
        <f t="shared" si="699"/>
        <v>0</v>
      </c>
      <c r="CS206" s="39">
        <f t="shared" si="700"/>
        <v>0</v>
      </c>
      <c r="CT206" s="53">
        <f t="shared" si="701"/>
        <v>0</v>
      </c>
      <c r="CU206" s="39">
        <f t="shared" si="702"/>
        <v>0</v>
      </c>
      <c r="CV206" s="39">
        <f t="shared" si="703"/>
        <v>0</v>
      </c>
      <c r="CW206" s="39">
        <f t="shared" si="704"/>
        <v>0</v>
      </c>
      <c r="CX206" s="39">
        <f t="shared" si="705"/>
        <v>0</v>
      </c>
      <c r="CY206" s="39">
        <f t="shared" si="706"/>
        <v>0</v>
      </c>
      <c r="CZ206" s="39">
        <f t="shared" si="707"/>
        <v>0</v>
      </c>
      <c r="DA206" s="39">
        <f t="shared" si="708"/>
        <v>0</v>
      </c>
      <c r="DB206" s="39">
        <f t="shared" si="709"/>
        <v>0</v>
      </c>
      <c r="DC206" s="39">
        <f t="shared" si="710"/>
        <v>0</v>
      </c>
      <c r="DD206" s="39">
        <f>+HLOOKUP('Reporte Evolución Mensual'!$F$2-2,$CR$2:$DC$251, Input!$DG206, FALSE)</f>
        <v>0</v>
      </c>
      <c r="DE206" s="39">
        <f>+HLOOKUP('Reporte Evolución Mensual'!$F$2-1,$CR$2:$DC$251, Input!$DG206, FALSE)</f>
        <v>0</v>
      </c>
      <c r="DF206" s="39">
        <f>+HLOOKUP('Reporte Evolución Mensual'!$F$2,$CR$2:$DC$251, Input!$DG206, FALSE)</f>
        <v>0</v>
      </c>
      <c r="DG206" s="40">
        <f t="shared" si="479"/>
        <v>206</v>
      </c>
      <c r="DH206" s="37"/>
      <c r="DI206" s="37"/>
      <c r="DJ206" s="37"/>
      <c r="DK206" s="37"/>
      <c r="DL206" s="37"/>
      <c r="DM206" s="37"/>
      <c r="DN206" s="37"/>
      <c r="DO206" s="63"/>
      <c r="DP206" s="63"/>
      <c r="DQ206" s="63"/>
      <c r="DR206" s="63"/>
      <c r="DS206" s="75"/>
      <c r="DT206" s="75"/>
      <c r="DU206" s="75"/>
      <c r="DV206" s="345" t="s">
        <v>163</v>
      </c>
    </row>
    <row r="207" spans="1:126" ht="15" customHeight="1" x14ac:dyDescent="0.3">
      <c r="A207" s="1" t="str">
        <f t="shared" si="713"/>
        <v>ADIFSE</v>
      </c>
      <c r="B207" s="1" t="str">
        <f t="shared" si="714"/>
        <v>ADIFSE</v>
      </c>
      <c r="C207" s="1" t="str">
        <f t="shared" si="715"/>
        <v>MAY</v>
      </c>
      <c r="D207" s="41" t="s">
        <v>108</v>
      </c>
      <c r="E207" s="122" t="s">
        <v>333</v>
      </c>
      <c r="F207" s="125"/>
      <c r="G207" s="16"/>
      <c r="H207" s="7"/>
      <c r="I207" s="7"/>
      <c r="J207" s="7"/>
      <c r="K207" s="88"/>
      <c r="L207" s="46"/>
      <c r="M207" s="46"/>
      <c r="N207" s="46"/>
      <c r="O207" s="46"/>
      <c r="P207" s="46"/>
      <c r="Q207" s="56"/>
      <c r="R207" s="46"/>
      <c r="S207" s="46"/>
      <c r="T207" s="46"/>
      <c r="U207" s="46"/>
      <c r="V207" s="46"/>
      <c r="W207" s="57"/>
      <c r="X207" s="46"/>
      <c r="Y207" s="46"/>
      <c r="Z207" s="46"/>
      <c r="AA207" s="46"/>
      <c r="AB207" s="46"/>
      <c r="AC207" s="57"/>
      <c r="AD207" s="46"/>
      <c r="AE207" s="46"/>
      <c r="AF207" s="46"/>
      <c r="AG207" s="46"/>
      <c r="AH207" s="46"/>
      <c r="AI207" s="57"/>
      <c r="AJ207" s="46"/>
      <c r="AK207" s="46"/>
      <c r="AL207" s="46"/>
      <c r="AM207" s="46"/>
      <c r="AN207" s="46"/>
      <c r="AO207" s="57"/>
      <c r="AP207" s="46"/>
      <c r="AQ207" s="46"/>
      <c r="AR207" s="46"/>
      <c r="AS207" s="46"/>
      <c r="AT207" s="46"/>
      <c r="AU207" s="57"/>
      <c r="AV207" s="46"/>
      <c r="AW207" s="46"/>
      <c r="AX207" s="46"/>
      <c r="AY207" s="46"/>
      <c r="AZ207" s="46"/>
      <c r="BA207" s="57"/>
      <c r="BB207" s="46"/>
      <c r="BC207" s="46"/>
      <c r="BD207" s="46"/>
      <c r="BE207" s="46"/>
      <c r="BF207" s="46"/>
      <c r="BG207" s="57"/>
      <c r="BH207" s="46"/>
      <c r="BI207" s="46"/>
      <c r="BJ207" s="46"/>
      <c r="BK207" s="46"/>
      <c r="BL207" s="46"/>
      <c r="BM207" s="57"/>
      <c r="BN207" s="46"/>
      <c r="BO207" s="46"/>
      <c r="BP207" s="46"/>
      <c r="BQ207" s="46"/>
      <c r="BR207" s="46"/>
      <c r="BS207" s="57"/>
      <c r="BT207" s="46"/>
      <c r="BU207" s="46"/>
      <c r="BV207" s="46"/>
      <c r="BW207" s="46"/>
      <c r="BX207" s="46"/>
      <c r="BY207" s="57"/>
      <c r="BZ207" s="46"/>
      <c r="CA207" s="46"/>
      <c r="CB207" s="46"/>
      <c r="CC207" s="46"/>
      <c r="CD207" s="46"/>
      <c r="CE207" s="57"/>
      <c r="CF207" s="46"/>
      <c r="CG207" s="46"/>
      <c r="CH207" s="46"/>
      <c r="CI207" s="46"/>
      <c r="CJ207" s="46"/>
      <c r="CK207" s="57"/>
      <c r="CL207" s="56"/>
      <c r="CM207" s="56"/>
      <c r="CN207" s="56"/>
      <c r="CO207" s="56"/>
      <c r="CP207" s="56"/>
      <c r="CQ207" s="56"/>
      <c r="CR207" s="46"/>
      <c r="CS207" s="39"/>
      <c r="CT207" s="53"/>
      <c r="CU207" s="39"/>
      <c r="CV207" s="39"/>
      <c r="CW207" s="39"/>
      <c r="CX207" s="39"/>
      <c r="CY207" s="39"/>
      <c r="CZ207" s="39"/>
      <c r="DA207" s="39"/>
      <c r="DB207" s="39"/>
      <c r="DC207" s="39"/>
      <c r="DD207" s="39">
        <f>+HLOOKUP('Reporte Evolución Mensual'!$F$2-2,$CR$2:$DC$251, Input!$DG207, FALSE)</f>
        <v>0</v>
      </c>
      <c r="DE207" s="39">
        <f>+HLOOKUP('Reporte Evolución Mensual'!$F$2-1,$CR$2:$DC$251, Input!$DG207, FALSE)</f>
        <v>0</v>
      </c>
      <c r="DF207" s="39">
        <f>+HLOOKUP('Reporte Evolución Mensual'!$F$2,$CR$2:$DC$251, Input!$DG207, FALSE)</f>
        <v>0</v>
      </c>
      <c r="DG207" s="40">
        <f t="shared" si="479"/>
        <v>207</v>
      </c>
      <c r="DH207" s="39"/>
      <c r="DI207" s="39"/>
      <c r="DJ207" s="39"/>
      <c r="DK207" s="39"/>
      <c r="DL207" s="39"/>
      <c r="DM207" s="39"/>
      <c r="DN207" s="39"/>
      <c r="DO207" s="58"/>
      <c r="DP207" s="58"/>
      <c r="DQ207" s="58"/>
      <c r="DR207" s="58"/>
      <c r="DS207" s="41"/>
      <c r="DT207" s="41"/>
      <c r="DU207" s="41"/>
      <c r="DV207" s="345"/>
    </row>
    <row r="208" spans="1:126" ht="15" customHeight="1" x14ac:dyDescent="0.3">
      <c r="A208" s="1" t="str">
        <f t="shared" si="713"/>
        <v>ADIFSE</v>
      </c>
      <c r="B208" s="1" t="str">
        <f t="shared" si="714"/>
        <v>ADIFSE</v>
      </c>
      <c r="C208" s="1" t="str">
        <f t="shared" si="715"/>
        <v>MAY</v>
      </c>
      <c r="D208" s="41" t="s">
        <v>108</v>
      </c>
      <c r="E208" s="124" t="s">
        <v>250</v>
      </c>
      <c r="F208" s="125"/>
      <c r="G208" s="16"/>
      <c r="H208" s="7"/>
      <c r="I208" s="7"/>
      <c r="J208" s="7"/>
      <c r="K208" s="88"/>
      <c r="L208" s="46"/>
      <c r="M208" s="46"/>
      <c r="N208" s="46"/>
      <c r="O208" s="46"/>
      <c r="P208" s="46"/>
      <c r="Q208" s="56"/>
      <c r="R208" s="46"/>
      <c r="S208" s="46"/>
      <c r="T208" s="46"/>
      <c r="U208" s="46"/>
      <c r="V208" s="46"/>
      <c r="W208" s="57"/>
      <c r="X208" s="46"/>
      <c r="Y208" s="46"/>
      <c r="Z208" s="46"/>
      <c r="AA208" s="46"/>
      <c r="AB208" s="46"/>
      <c r="AC208" s="57"/>
      <c r="AD208" s="46"/>
      <c r="AE208" s="46"/>
      <c r="AF208" s="46"/>
      <c r="AG208" s="46"/>
      <c r="AH208" s="46"/>
      <c r="AI208" s="57"/>
      <c r="AJ208" s="46"/>
      <c r="AK208" s="46"/>
      <c r="AL208" s="46"/>
      <c r="AM208" s="46"/>
      <c r="AN208" s="46"/>
      <c r="AO208" s="57"/>
      <c r="AP208" s="46"/>
      <c r="AQ208" s="46"/>
      <c r="AR208" s="46"/>
      <c r="AS208" s="46"/>
      <c r="AT208" s="46"/>
      <c r="AU208" s="57"/>
      <c r="AV208" s="46"/>
      <c r="AW208" s="46"/>
      <c r="AX208" s="46"/>
      <c r="AY208" s="46"/>
      <c r="AZ208" s="46"/>
      <c r="BA208" s="57"/>
      <c r="BB208" s="46"/>
      <c r="BC208" s="46"/>
      <c r="BD208" s="46"/>
      <c r="BE208" s="46"/>
      <c r="BF208" s="46"/>
      <c r="BG208" s="57"/>
      <c r="BH208" s="46"/>
      <c r="BI208" s="46"/>
      <c r="BJ208" s="46"/>
      <c r="BK208" s="46"/>
      <c r="BL208" s="46"/>
      <c r="BM208" s="57"/>
      <c r="BN208" s="46"/>
      <c r="BO208" s="46"/>
      <c r="BP208" s="46"/>
      <c r="BQ208" s="46"/>
      <c r="BR208" s="46"/>
      <c r="BS208" s="57"/>
      <c r="BT208" s="46"/>
      <c r="BU208" s="46"/>
      <c r="BV208" s="46"/>
      <c r="BW208" s="46"/>
      <c r="BX208" s="46"/>
      <c r="BY208" s="57"/>
      <c r="BZ208" s="46"/>
      <c r="CA208" s="46"/>
      <c r="CB208" s="46"/>
      <c r="CC208" s="46"/>
      <c r="CD208" s="46"/>
      <c r="CE208" s="57"/>
      <c r="CF208" s="46"/>
      <c r="CG208" s="46"/>
      <c r="CH208" s="46"/>
      <c r="CI208" s="46"/>
      <c r="CJ208" s="46"/>
      <c r="CK208" s="57"/>
      <c r="CL208" s="56"/>
      <c r="CM208" s="56"/>
      <c r="CN208" s="56"/>
      <c r="CO208" s="56"/>
      <c r="CP208" s="56"/>
      <c r="CQ208" s="56"/>
      <c r="CR208" s="37"/>
      <c r="CS208" s="39"/>
      <c r="CT208" s="53"/>
      <c r="CU208" s="39"/>
      <c r="CV208" s="39"/>
      <c r="CW208" s="39"/>
      <c r="CX208" s="39"/>
      <c r="CY208" s="39"/>
      <c r="CZ208" s="39"/>
      <c r="DA208" s="39"/>
      <c r="DB208" s="39"/>
      <c r="DC208" s="39"/>
      <c r="DD208" s="39">
        <f>+HLOOKUP('Reporte Evolución Mensual'!$F$2-2,$CR$2:$DC$251, Input!$DG208, FALSE)</f>
        <v>0</v>
      </c>
      <c r="DE208" s="39">
        <f>+HLOOKUP('Reporte Evolución Mensual'!$F$2-1,$CR$2:$DC$251, Input!$DG208, FALSE)</f>
        <v>0</v>
      </c>
      <c r="DF208" s="39">
        <f>+HLOOKUP('Reporte Evolución Mensual'!$F$2,$CR$2:$DC$251, Input!$DG208, FALSE)</f>
        <v>0</v>
      </c>
      <c r="DG208" s="40">
        <f t="shared" si="479"/>
        <v>208</v>
      </c>
      <c r="DH208" s="39"/>
      <c r="DI208" s="39"/>
      <c r="DJ208" s="39"/>
      <c r="DK208" s="39"/>
      <c r="DL208" s="39"/>
      <c r="DM208" s="39"/>
      <c r="DN208" s="39"/>
      <c r="DO208" s="58"/>
      <c r="DP208" s="58"/>
      <c r="DQ208" s="58"/>
      <c r="DR208" s="58"/>
      <c r="DS208" s="41"/>
      <c r="DT208" s="41"/>
      <c r="DU208" s="41"/>
      <c r="DV208" s="345"/>
    </row>
    <row r="209" spans="1:126" ht="15" customHeight="1" x14ac:dyDescent="0.3">
      <c r="A209" s="1" t="str">
        <f t="shared" si="713"/>
        <v>ADIFSE</v>
      </c>
      <c r="B209" s="1" t="str">
        <f t="shared" si="714"/>
        <v>ADIFSE</v>
      </c>
      <c r="C209" s="1" t="str">
        <f t="shared" si="715"/>
        <v>MAY</v>
      </c>
      <c r="D209" s="16" t="s">
        <v>163</v>
      </c>
      <c r="E209" s="123" t="str">
        <f t="shared" ref="E209:E211" si="777">CONCATENATE(H209," - ",I209)</f>
        <v>Aportes de Capital a Empresa Públicas - EANA</v>
      </c>
      <c r="F209" s="127" t="s">
        <v>251</v>
      </c>
      <c r="G209" s="16" t="s">
        <v>230</v>
      </c>
      <c r="H209" s="7" t="s">
        <v>252</v>
      </c>
      <c r="I209" s="7" t="s">
        <v>253</v>
      </c>
      <c r="J209" s="32" t="s">
        <v>289</v>
      </c>
      <c r="K209" s="38"/>
      <c r="L209" s="51"/>
      <c r="M209" s="51"/>
      <c r="N209" s="51"/>
      <c r="O209" s="51"/>
      <c r="P209" s="51"/>
      <c r="Q209" s="67">
        <f t="shared" ref="Q209:Q211" si="778">SUM(L209:P209)</f>
        <v>0</v>
      </c>
      <c r="R209" s="51"/>
      <c r="S209" s="51"/>
      <c r="T209" s="51"/>
      <c r="U209" s="51"/>
      <c r="V209" s="51"/>
      <c r="W209" s="68">
        <f t="shared" ref="W209:W211" si="779">SUM(R209:V209)</f>
        <v>0</v>
      </c>
      <c r="X209" s="51"/>
      <c r="Y209" s="51"/>
      <c r="Z209" s="51"/>
      <c r="AA209" s="51"/>
      <c r="AB209" s="51"/>
      <c r="AC209" s="68">
        <f t="shared" ref="AC209:AC211" si="780">SUM(X209:AB209)</f>
        <v>0</v>
      </c>
      <c r="AD209" s="51"/>
      <c r="AE209" s="51"/>
      <c r="AF209" s="51"/>
      <c r="AG209" s="51"/>
      <c r="AH209" s="51"/>
      <c r="AI209" s="68">
        <f t="shared" ref="AI209:AI211" si="781">SUM(AD209:AH209)</f>
        <v>0</v>
      </c>
      <c r="AJ209" s="51"/>
      <c r="AK209" s="51"/>
      <c r="AL209" s="51"/>
      <c r="AM209" s="51"/>
      <c r="AN209" s="51"/>
      <c r="AO209" s="68"/>
      <c r="AP209" s="51"/>
      <c r="AQ209" s="51"/>
      <c r="AR209" s="51"/>
      <c r="AS209" s="51"/>
      <c r="AT209" s="51"/>
      <c r="AU209" s="68"/>
      <c r="AV209" s="51"/>
      <c r="AW209" s="51"/>
      <c r="AX209" s="51"/>
      <c r="AY209" s="51"/>
      <c r="AZ209" s="51"/>
      <c r="BA209" s="68"/>
      <c r="BB209" s="51"/>
      <c r="BC209" s="51"/>
      <c r="BD209" s="51"/>
      <c r="BE209" s="51"/>
      <c r="BF209" s="51"/>
      <c r="BG209" s="68"/>
      <c r="BH209" s="51"/>
      <c r="BI209" s="51"/>
      <c r="BJ209" s="51"/>
      <c r="BK209" s="51"/>
      <c r="BL209" s="51"/>
      <c r="BM209" s="68"/>
      <c r="BN209" s="51"/>
      <c r="BO209" s="51"/>
      <c r="BP209" s="51"/>
      <c r="BQ209" s="51"/>
      <c r="BR209" s="51"/>
      <c r="BS209" s="68"/>
      <c r="BT209" s="51"/>
      <c r="BU209" s="51"/>
      <c r="BV209" s="51"/>
      <c r="BW209" s="51"/>
      <c r="BX209" s="51"/>
      <c r="BY209" s="68"/>
      <c r="BZ209" s="51"/>
      <c r="CA209" s="51"/>
      <c r="CB209" s="51"/>
      <c r="CC209" s="51"/>
      <c r="CD209" s="51"/>
      <c r="CE209" s="68"/>
      <c r="CF209" s="51"/>
      <c r="CG209" s="51"/>
      <c r="CH209" s="51"/>
      <c r="CI209" s="51"/>
      <c r="CJ209" s="51"/>
      <c r="CK209" s="68"/>
      <c r="CL209" s="67">
        <f t="shared" ref="CL209:CQ212" si="782">+R209+X209+AD209+AJ209+AP209+AV209+BB209+BH209+BN209+BT209+BZ209+CF209</f>
        <v>0</v>
      </c>
      <c r="CM209" s="67">
        <f t="shared" si="782"/>
        <v>0</v>
      </c>
      <c r="CN209" s="67">
        <f t="shared" si="782"/>
        <v>0</v>
      </c>
      <c r="CO209" s="67">
        <f t="shared" si="782"/>
        <v>0</v>
      </c>
      <c r="CP209" s="67">
        <f t="shared" si="782"/>
        <v>0</v>
      </c>
      <c r="CQ209" s="67">
        <f t="shared" si="782"/>
        <v>0</v>
      </c>
      <c r="CR209" s="37">
        <f t="shared" ref="CR209:CR212" si="783">+W209</f>
        <v>0</v>
      </c>
      <c r="CS209" s="39">
        <f t="shared" ref="CS209:CS212" si="784">+AC209</f>
        <v>0</v>
      </c>
      <c r="CT209" s="53">
        <f t="shared" ref="CT209:CT212" si="785">+AI209</f>
        <v>0</v>
      </c>
      <c r="CU209" s="39">
        <f t="shared" ref="CU209:CU212" si="786">+AO209</f>
        <v>0</v>
      </c>
      <c r="CV209" s="39">
        <f t="shared" ref="CV209:CV212" si="787">+AU209</f>
        <v>0</v>
      </c>
      <c r="CW209" s="39">
        <f t="shared" ref="CW209:CW212" si="788">+BA209</f>
        <v>0</v>
      </c>
      <c r="CX209" s="39">
        <f t="shared" ref="CX209:CX212" si="789">+BG209</f>
        <v>0</v>
      </c>
      <c r="CY209" s="39">
        <f t="shared" ref="CY209:CY212" si="790">+BM209</f>
        <v>0</v>
      </c>
      <c r="CZ209" s="39">
        <f t="shared" ref="CZ209:CZ212" si="791">+BS209</f>
        <v>0</v>
      </c>
      <c r="DA209" s="39">
        <f t="shared" ref="DA209:DA212" si="792">+BY209</f>
        <v>0</v>
      </c>
      <c r="DB209" s="39">
        <f t="shared" ref="DB209:DB212" si="793">+CE209</f>
        <v>0</v>
      </c>
      <c r="DC209" s="39">
        <f t="shared" ref="DC209:DC212" si="794">+CK209</f>
        <v>0</v>
      </c>
      <c r="DD209" s="39">
        <f>+HLOOKUP('Reporte Evolución Mensual'!$F$2-2,$CR$2:$DC$251, Input!$DG209, FALSE)</f>
        <v>0</v>
      </c>
      <c r="DE209" s="39">
        <f>+HLOOKUP('Reporte Evolución Mensual'!$F$2-1,$CR$2:$DC$251, Input!$DG209, FALSE)</f>
        <v>0</v>
      </c>
      <c r="DF209" s="39">
        <f>+HLOOKUP('Reporte Evolución Mensual'!$F$2,$CR$2:$DC$251, Input!$DG209, FALSE)</f>
        <v>0</v>
      </c>
      <c r="DG209" s="40">
        <f t="shared" si="479"/>
        <v>209</v>
      </c>
      <c r="DH209" s="38"/>
      <c r="DI209" s="38"/>
      <c r="DJ209" s="67"/>
      <c r="DK209" s="38"/>
      <c r="DL209" s="38"/>
      <c r="DM209" s="38"/>
      <c r="DN209" s="38"/>
      <c r="DO209" s="38"/>
      <c r="DP209" s="71"/>
      <c r="DQ209" s="38"/>
      <c r="DR209" s="38"/>
      <c r="DS209" s="38"/>
      <c r="DT209" s="38"/>
      <c r="DU209" s="38"/>
      <c r="DV209" s="345"/>
    </row>
    <row r="210" spans="1:126" ht="15" customHeight="1" x14ac:dyDescent="0.3">
      <c r="A210" s="1" t="str">
        <f t="shared" si="713"/>
        <v>ADIFSE</v>
      </c>
      <c r="B210" s="1" t="str">
        <f t="shared" si="714"/>
        <v>ADIFSE</v>
      </c>
      <c r="C210" s="1" t="str">
        <f t="shared" si="715"/>
        <v>MAY</v>
      </c>
      <c r="D210" s="16" t="s">
        <v>163</v>
      </c>
      <c r="E210" s="123" t="str">
        <f t="shared" si="777"/>
        <v>Aportes de Capital a Empresa Públicas - otros</v>
      </c>
      <c r="F210" s="127" t="s">
        <v>254</v>
      </c>
      <c r="G210" s="16" t="s">
        <v>230</v>
      </c>
      <c r="H210" s="7" t="s">
        <v>252</v>
      </c>
      <c r="I210" s="7" t="s">
        <v>255</v>
      </c>
      <c r="J210" s="32" t="s">
        <v>289</v>
      </c>
      <c r="K210" s="38"/>
      <c r="L210" s="51"/>
      <c r="M210" s="51"/>
      <c r="N210" s="51"/>
      <c r="O210" s="51"/>
      <c r="P210" s="51"/>
      <c r="Q210" s="67">
        <f t="shared" si="778"/>
        <v>0</v>
      </c>
      <c r="R210" s="51"/>
      <c r="S210" s="51"/>
      <c r="T210" s="51"/>
      <c r="U210" s="51"/>
      <c r="V210" s="51"/>
      <c r="W210" s="68">
        <f t="shared" si="779"/>
        <v>0</v>
      </c>
      <c r="X210" s="51"/>
      <c r="Y210" s="51"/>
      <c r="Z210" s="51"/>
      <c r="AA210" s="51"/>
      <c r="AB210" s="51"/>
      <c r="AC210" s="68">
        <f t="shared" si="780"/>
        <v>0</v>
      </c>
      <c r="AD210" s="51"/>
      <c r="AE210" s="51"/>
      <c r="AF210" s="51"/>
      <c r="AG210" s="51"/>
      <c r="AH210" s="51"/>
      <c r="AI210" s="68">
        <f t="shared" si="781"/>
        <v>0</v>
      </c>
      <c r="AJ210" s="51"/>
      <c r="AK210" s="51"/>
      <c r="AL210" s="51"/>
      <c r="AM210" s="51"/>
      <c r="AN210" s="51"/>
      <c r="AO210" s="68"/>
      <c r="AP210" s="51"/>
      <c r="AQ210" s="51"/>
      <c r="AR210" s="51"/>
      <c r="AS210" s="51"/>
      <c r="AT210" s="51"/>
      <c r="AU210" s="68"/>
      <c r="AV210" s="51"/>
      <c r="AW210" s="51"/>
      <c r="AX210" s="51"/>
      <c r="AY210" s="51"/>
      <c r="AZ210" s="51"/>
      <c r="BA210" s="68"/>
      <c r="BB210" s="51"/>
      <c r="BC210" s="51"/>
      <c r="BD210" s="51"/>
      <c r="BE210" s="51"/>
      <c r="BF210" s="51"/>
      <c r="BG210" s="68"/>
      <c r="BH210" s="51"/>
      <c r="BI210" s="51"/>
      <c r="BJ210" s="51"/>
      <c r="BK210" s="51"/>
      <c r="BL210" s="51"/>
      <c r="BM210" s="68"/>
      <c r="BN210" s="51"/>
      <c r="BO210" s="51"/>
      <c r="BP210" s="51"/>
      <c r="BQ210" s="51"/>
      <c r="BR210" s="51"/>
      <c r="BS210" s="68"/>
      <c r="BT210" s="51"/>
      <c r="BU210" s="51"/>
      <c r="BV210" s="51"/>
      <c r="BW210" s="51"/>
      <c r="BX210" s="51"/>
      <c r="BY210" s="68"/>
      <c r="BZ210" s="51"/>
      <c r="CA210" s="51"/>
      <c r="CB210" s="51"/>
      <c r="CC210" s="51"/>
      <c r="CD210" s="51"/>
      <c r="CE210" s="68"/>
      <c r="CF210" s="51"/>
      <c r="CG210" s="51"/>
      <c r="CH210" s="51"/>
      <c r="CI210" s="51"/>
      <c r="CJ210" s="51"/>
      <c r="CK210" s="68"/>
      <c r="CL210" s="67">
        <f t="shared" si="782"/>
        <v>0</v>
      </c>
      <c r="CM210" s="67">
        <f t="shared" si="782"/>
        <v>0</v>
      </c>
      <c r="CN210" s="67">
        <f t="shared" si="782"/>
        <v>0</v>
      </c>
      <c r="CO210" s="67">
        <f t="shared" si="782"/>
        <v>0</v>
      </c>
      <c r="CP210" s="67">
        <f t="shared" si="782"/>
        <v>0</v>
      </c>
      <c r="CQ210" s="67">
        <f t="shared" si="782"/>
        <v>0</v>
      </c>
      <c r="CR210" s="37">
        <f t="shared" si="783"/>
        <v>0</v>
      </c>
      <c r="CS210" s="39">
        <f t="shared" si="784"/>
        <v>0</v>
      </c>
      <c r="CT210" s="53">
        <f t="shared" si="785"/>
        <v>0</v>
      </c>
      <c r="CU210" s="39">
        <f t="shared" si="786"/>
        <v>0</v>
      </c>
      <c r="CV210" s="39">
        <f t="shared" si="787"/>
        <v>0</v>
      </c>
      <c r="CW210" s="39">
        <f t="shared" si="788"/>
        <v>0</v>
      </c>
      <c r="CX210" s="39">
        <f t="shared" si="789"/>
        <v>0</v>
      </c>
      <c r="CY210" s="39">
        <f t="shared" si="790"/>
        <v>0</v>
      </c>
      <c r="CZ210" s="39">
        <f t="shared" si="791"/>
        <v>0</v>
      </c>
      <c r="DA210" s="39">
        <f t="shared" si="792"/>
        <v>0</v>
      </c>
      <c r="DB210" s="39">
        <f t="shared" si="793"/>
        <v>0</v>
      </c>
      <c r="DC210" s="39">
        <f t="shared" si="794"/>
        <v>0</v>
      </c>
      <c r="DD210" s="39">
        <f>+HLOOKUP('Reporte Evolución Mensual'!$F$2-2,$CR$2:$DC$251, Input!$DG210, FALSE)</f>
        <v>0</v>
      </c>
      <c r="DE210" s="39">
        <f>+HLOOKUP('Reporte Evolución Mensual'!$F$2-1,$CR$2:$DC$251, Input!$DG210, FALSE)</f>
        <v>0</v>
      </c>
      <c r="DF210" s="39">
        <f>+HLOOKUP('Reporte Evolución Mensual'!$F$2,$CR$2:$DC$251, Input!$DG210, FALSE)</f>
        <v>0</v>
      </c>
      <c r="DG210" s="40">
        <f t="shared" ref="DG210:DG251" si="795">+DG209+1</f>
        <v>210</v>
      </c>
      <c r="DH210" s="38"/>
      <c r="DI210" s="38"/>
      <c r="DJ210" s="67"/>
      <c r="DK210" s="38"/>
      <c r="DL210" s="38"/>
      <c r="DM210" s="38"/>
      <c r="DN210" s="38"/>
      <c r="DO210" s="38"/>
      <c r="DP210" s="71"/>
      <c r="DQ210" s="38"/>
      <c r="DR210" s="38"/>
      <c r="DS210" s="38"/>
      <c r="DT210" s="38"/>
      <c r="DU210" s="38"/>
      <c r="DV210" s="345" t="s">
        <v>163</v>
      </c>
    </row>
    <row r="211" spans="1:126" ht="15" customHeight="1" x14ac:dyDescent="0.3">
      <c r="A211" s="1" t="str">
        <f t="shared" si="713"/>
        <v>ADIFSE</v>
      </c>
      <c r="B211" s="1" t="str">
        <f t="shared" si="714"/>
        <v>ADIFSE</v>
      </c>
      <c r="C211" s="1" t="str">
        <f t="shared" si="715"/>
        <v>MAY</v>
      </c>
      <c r="D211" s="1" t="s">
        <v>163</v>
      </c>
      <c r="E211" s="123" t="str">
        <f t="shared" si="777"/>
        <v>Egresos de Capital - otros</v>
      </c>
      <c r="F211" s="127" t="s">
        <v>256</v>
      </c>
      <c r="G211" s="16" t="s">
        <v>230</v>
      </c>
      <c r="H211" s="7" t="s">
        <v>230</v>
      </c>
      <c r="I211" s="7" t="s">
        <v>255</v>
      </c>
      <c r="J211" s="32" t="s">
        <v>289</v>
      </c>
      <c r="K211" s="38"/>
      <c r="L211" s="51"/>
      <c r="M211" s="51"/>
      <c r="N211" s="51"/>
      <c r="O211" s="51"/>
      <c r="P211" s="51"/>
      <c r="Q211" s="67">
        <f t="shared" si="778"/>
        <v>0</v>
      </c>
      <c r="R211" s="51"/>
      <c r="S211" s="51"/>
      <c r="T211" s="51"/>
      <c r="U211" s="51"/>
      <c r="V211" s="51"/>
      <c r="W211" s="68">
        <f t="shared" si="779"/>
        <v>0</v>
      </c>
      <c r="X211" s="51"/>
      <c r="Y211" s="51"/>
      <c r="Z211" s="51"/>
      <c r="AA211" s="51"/>
      <c r="AB211" s="51"/>
      <c r="AC211" s="68">
        <f t="shared" si="780"/>
        <v>0</v>
      </c>
      <c r="AD211" s="51"/>
      <c r="AE211" s="51"/>
      <c r="AF211" s="51"/>
      <c r="AG211" s="51"/>
      <c r="AH211" s="51"/>
      <c r="AI211" s="68">
        <f t="shared" si="781"/>
        <v>0</v>
      </c>
      <c r="AJ211" s="51"/>
      <c r="AK211" s="51"/>
      <c r="AL211" s="51"/>
      <c r="AM211" s="51"/>
      <c r="AN211" s="51"/>
      <c r="AO211" s="68"/>
      <c r="AP211" s="51"/>
      <c r="AQ211" s="51"/>
      <c r="AR211" s="51"/>
      <c r="AS211" s="51"/>
      <c r="AT211" s="51"/>
      <c r="AU211" s="68"/>
      <c r="AV211" s="51"/>
      <c r="AW211" s="51"/>
      <c r="AX211" s="51"/>
      <c r="AY211" s="51"/>
      <c r="AZ211" s="51"/>
      <c r="BA211" s="68"/>
      <c r="BB211" s="51"/>
      <c r="BC211" s="51"/>
      <c r="BD211" s="51"/>
      <c r="BE211" s="51"/>
      <c r="BF211" s="51"/>
      <c r="BG211" s="68"/>
      <c r="BH211" s="51"/>
      <c r="BI211" s="51"/>
      <c r="BJ211" s="51"/>
      <c r="BK211" s="51"/>
      <c r="BL211" s="51"/>
      <c r="BM211" s="68"/>
      <c r="BN211" s="51"/>
      <c r="BO211" s="51"/>
      <c r="BP211" s="51"/>
      <c r="BQ211" s="51"/>
      <c r="BR211" s="51"/>
      <c r="BS211" s="68"/>
      <c r="BT211" s="51"/>
      <c r="BU211" s="51"/>
      <c r="BV211" s="51"/>
      <c r="BW211" s="51"/>
      <c r="BX211" s="51"/>
      <c r="BY211" s="68"/>
      <c r="BZ211" s="51"/>
      <c r="CA211" s="51"/>
      <c r="CB211" s="51"/>
      <c r="CC211" s="51"/>
      <c r="CD211" s="51"/>
      <c r="CE211" s="68"/>
      <c r="CF211" s="51"/>
      <c r="CG211" s="51"/>
      <c r="CH211" s="51"/>
      <c r="CI211" s="51"/>
      <c r="CJ211" s="51"/>
      <c r="CK211" s="68"/>
      <c r="CL211" s="67">
        <f t="shared" si="782"/>
        <v>0</v>
      </c>
      <c r="CM211" s="67">
        <f t="shared" si="782"/>
        <v>0</v>
      </c>
      <c r="CN211" s="67">
        <f t="shared" si="782"/>
        <v>0</v>
      </c>
      <c r="CO211" s="67">
        <f t="shared" si="782"/>
        <v>0</v>
      </c>
      <c r="CP211" s="67">
        <f t="shared" si="782"/>
        <v>0</v>
      </c>
      <c r="CQ211" s="67">
        <f t="shared" si="782"/>
        <v>0</v>
      </c>
      <c r="CR211" s="37">
        <f t="shared" si="783"/>
        <v>0</v>
      </c>
      <c r="CS211" s="39">
        <f t="shared" si="784"/>
        <v>0</v>
      </c>
      <c r="CT211" s="53">
        <f t="shared" si="785"/>
        <v>0</v>
      </c>
      <c r="CU211" s="39">
        <f t="shared" si="786"/>
        <v>0</v>
      </c>
      <c r="CV211" s="39">
        <f t="shared" si="787"/>
        <v>0</v>
      </c>
      <c r="CW211" s="39">
        <f t="shared" si="788"/>
        <v>0</v>
      </c>
      <c r="CX211" s="39">
        <f t="shared" si="789"/>
        <v>0</v>
      </c>
      <c r="CY211" s="39">
        <f t="shared" si="790"/>
        <v>0</v>
      </c>
      <c r="CZ211" s="39">
        <f t="shared" si="791"/>
        <v>0</v>
      </c>
      <c r="DA211" s="39">
        <f t="shared" si="792"/>
        <v>0</v>
      </c>
      <c r="DB211" s="39">
        <f t="shared" si="793"/>
        <v>0</v>
      </c>
      <c r="DC211" s="39">
        <f t="shared" si="794"/>
        <v>0</v>
      </c>
      <c r="DD211" s="39">
        <f>+HLOOKUP('Reporte Evolución Mensual'!$F$2-2,$CR$2:$DC$251, Input!$DG211, FALSE)</f>
        <v>0</v>
      </c>
      <c r="DE211" s="39">
        <f>+HLOOKUP('Reporte Evolución Mensual'!$F$2-1,$CR$2:$DC$251, Input!$DG211, FALSE)</f>
        <v>0</v>
      </c>
      <c r="DF211" s="39">
        <f>+HLOOKUP('Reporte Evolución Mensual'!$F$2,$CR$2:$DC$251, Input!$DG211, FALSE)</f>
        <v>0</v>
      </c>
      <c r="DG211" s="40">
        <f t="shared" si="795"/>
        <v>211</v>
      </c>
      <c r="DH211" s="38"/>
      <c r="DI211" s="38"/>
      <c r="DJ211" s="67"/>
      <c r="DK211" s="38"/>
      <c r="DL211" s="38"/>
      <c r="DM211" s="38"/>
      <c r="DN211" s="38"/>
      <c r="DO211" s="38"/>
      <c r="DP211" s="71"/>
      <c r="DQ211" s="38"/>
      <c r="DR211" s="38"/>
      <c r="DS211" s="38"/>
      <c r="DT211" s="38"/>
      <c r="DU211" s="38"/>
      <c r="DV211" s="345" t="s">
        <v>163</v>
      </c>
    </row>
    <row r="212" spans="1:126" ht="15" customHeight="1" x14ac:dyDescent="0.3">
      <c r="A212" s="1" t="str">
        <f t="shared" si="713"/>
        <v>ADIFSE</v>
      </c>
      <c r="B212" s="1" t="str">
        <f t="shared" si="714"/>
        <v>ADIFSE</v>
      </c>
      <c r="C212" s="1" t="str">
        <f t="shared" si="715"/>
        <v>MAY</v>
      </c>
      <c r="D212" s="75" t="s">
        <v>108</v>
      </c>
      <c r="E212" s="122" t="s">
        <v>257</v>
      </c>
      <c r="F212" s="132"/>
      <c r="G212" s="16" t="s">
        <v>230</v>
      </c>
      <c r="H212" s="7" t="s">
        <v>202</v>
      </c>
      <c r="I212" s="7" t="s">
        <v>173</v>
      </c>
      <c r="J212" s="32" t="s">
        <v>289</v>
      </c>
      <c r="K212" s="38"/>
      <c r="L212" s="38">
        <f t="shared" ref="L212:BW212" si="796">SUM(L209:L211)</f>
        <v>0</v>
      </c>
      <c r="M212" s="38">
        <f t="shared" si="796"/>
        <v>0</v>
      </c>
      <c r="N212" s="38">
        <f t="shared" si="796"/>
        <v>0</v>
      </c>
      <c r="O212" s="38">
        <f t="shared" si="796"/>
        <v>0</v>
      </c>
      <c r="P212" s="38">
        <f t="shared" si="796"/>
        <v>0</v>
      </c>
      <c r="Q212" s="67">
        <f t="shared" si="796"/>
        <v>0</v>
      </c>
      <c r="R212" s="38">
        <f t="shared" si="796"/>
        <v>0</v>
      </c>
      <c r="S212" s="38">
        <f t="shared" si="796"/>
        <v>0</v>
      </c>
      <c r="T212" s="38">
        <f t="shared" si="796"/>
        <v>0</v>
      </c>
      <c r="U212" s="38">
        <f t="shared" si="796"/>
        <v>0</v>
      </c>
      <c r="V212" s="38">
        <f t="shared" si="796"/>
        <v>0</v>
      </c>
      <c r="W212" s="71">
        <f t="shared" si="796"/>
        <v>0</v>
      </c>
      <c r="X212" s="38">
        <f t="shared" si="796"/>
        <v>0</v>
      </c>
      <c r="Y212" s="38">
        <f t="shared" si="796"/>
        <v>0</v>
      </c>
      <c r="Z212" s="38">
        <f t="shared" si="796"/>
        <v>0</v>
      </c>
      <c r="AA212" s="38">
        <f t="shared" si="796"/>
        <v>0</v>
      </c>
      <c r="AB212" s="38">
        <f t="shared" si="796"/>
        <v>0</v>
      </c>
      <c r="AC212" s="71">
        <f t="shared" si="796"/>
        <v>0</v>
      </c>
      <c r="AD212" s="38">
        <f t="shared" si="796"/>
        <v>0</v>
      </c>
      <c r="AE212" s="38">
        <f t="shared" si="796"/>
        <v>0</v>
      </c>
      <c r="AF212" s="38">
        <f t="shared" si="796"/>
        <v>0</v>
      </c>
      <c r="AG212" s="38">
        <f t="shared" si="796"/>
        <v>0</v>
      </c>
      <c r="AH212" s="38">
        <f t="shared" si="796"/>
        <v>0</v>
      </c>
      <c r="AI212" s="71">
        <f t="shared" si="796"/>
        <v>0</v>
      </c>
      <c r="AJ212" s="38">
        <f t="shared" si="796"/>
        <v>0</v>
      </c>
      <c r="AK212" s="38">
        <f t="shared" si="796"/>
        <v>0</v>
      </c>
      <c r="AL212" s="38">
        <f t="shared" si="796"/>
        <v>0</v>
      </c>
      <c r="AM212" s="38">
        <f t="shared" si="796"/>
        <v>0</v>
      </c>
      <c r="AN212" s="38">
        <f t="shared" si="796"/>
        <v>0</v>
      </c>
      <c r="AO212" s="71">
        <f t="shared" si="796"/>
        <v>0</v>
      </c>
      <c r="AP212" s="38">
        <f t="shared" si="796"/>
        <v>0</v>
      </c>
      <c r="AQ212" s="38">
        <f t="shared" si="796"/>
        <v>0</v>
      </c>
      <c r="AR212" s="38">
        <f t="shared" si="796"/>
        <v>0</v>
      </c>
      <c r="AS212" s="38">
        <f t="shared" si="796"/>
        <v>0</v>
      </c>
      <c r="AT212" s="38">
        <f t="shared" si="796"/>
        <v>0</v>
      </c>
      <c r="AU212" s="71">
        <f t="shared" si="796"/>
        <v>0</v>
      </c>
      <c r="AV212" s="38">
        <f t="shared" si="796"/>
        <v>0</v>
      </c>
      <c r="AW212" s="38">
        <f t="shared" si="796"/>
        <v>0</v>
      </c>
      <c r="AX212" s="38">
        <f t="shared" si="796"/>
        <v>0</v>
      </c>
      <c r="AY212" s="38">
        <f t="shared" si="796"/>
        <v>0</v>
      </c>
      <c r="AZ212" s="38">
        <f t="shared" si="796"/>
        <v>0</v>
      </c>
      <c r="BA212" s="71">
        <f t="shared" si="796"/>
        <v>0</v>
      </c>
      <c r="BB212" s="38">
        <f t="shared" si="796"/>
        <v>0</v>
      </c>
      <c r="BC212" s="38">
        <f t="shared" si="796"/>
        <v>0</v>
      </c>
      <c r="BD212" s="38">
        <f t="shared" si="796"/>
        <v>0</v>
      </c>
      <c r="BE212" s="38">
        <f t="shared" si="796"/>
        <v>0</v>
      </c>
      <c r="BF212" s="38">
        <f t="shared" si="796"/>
        <v>0</v>
      </c>
      <c r="BG212" s="71">
        <f t="shared" si="796"/>
        <v>0</v>
      </c>
      <c r="BH212" s="38">
        <f t="shared" si="796"/>
        <v>0</v>
      </c>
      <c r="BI212" s="38">
        <f t="shared" si="796"/>
        <v>0</v>
      </c>
      <c r="BJ212" s="38">
        <f t="shared" si="796"/>
        <v>0</v>
      </c>
      <c r="BK212" s="38">
        <f t="shared" si="796"/>
        <v>0</v>
      </c>
      <c r="BL212" s="38">
        <f t="shared" si="796"/>
        <v>0</v>
      </c>
      <c r="BM212" s="71">
        <f t="shared" si="796"/>
        <v>0</v>
      </c>
      <c r="BN212" s="38">
        <f t="shared" si="796"/>
        <v>0</v>
      </c>
      <c r="BO212" s="38">
        <f t="shared" si="796"/>
        <v>0</v>
      </c>
      <c r="BP212" s="38">
        <f t="shared" si="796"/>
        <v>0</v>
      </c>
      <c r="BQ212" s="38">
        <f t="shared" si="796"/>
        <v>0</v>
      </c>
      <c r="BR212" s="38">
        <f t="shared" si="796"/>
        <v>0</v>
      </c>
      <c r="BS212" s="71">
        <f t="shared" si="796"/>
        <v>0</v>
      </c>
      <c r="BT212" s="38">
        <f t="shared" si="796"/>
        <v>0</v>
      </c>
      <c r="BU212" s="38">
        <f t="shared" si="796"/>
        <v>0</v>
      </c>
      <c r="BV212" s="38">
        <f t="shared" si="796"/>
        <v>0</v>
      </c>
      <c r="BW212" s="38">
        <f t="shared" si="796"/>
        <v>0</v>
      </c>
      <c r="BX212" s="38">
        <f t="shared" ref="BX212:CK212" si="797">SUM(BX209:BX211)</f>
        <v>0</v>
      </c>
      <c r="BY212" s="71">
        <f t="shared" si="797"/>
        <v>0</v>
      </c>
      <c r="BZ212" s="38">
        <f t="shared" si="797"/>
        <v>0</v>
      </c>
      <c r="CA212" s="38">
        <f t="shared" si="797"/>
        <v>0</v>
      </c>
      <c r="CB212" s="38">
        <f t="shared" si="797"/>
        <v>0</v>
      </c>
      <c r="CC212" s="38">
        <f t="shared" si="797"/>
        <v>0</v>
      </c>
      <c r="CD212" s="38">
        <f t="shared" si="797"/>
        <v>0</v>
      </c>
      <c r="CE212" s="71">
        <f t="shared" si="797"/>
        <v>0</v>
      </c>
      <c r="CF212" s="38">
        <f t="shared" si="797"/>
        <v>0</v>
      </c>
      <c r="CG212" s="38">
        <f t="shared" si="797"/>
        <v>0</v>
      </c>
      <c r="CH212" s="38">
        <f t="shared" si="797"/>
        <v>0</v>
      </c>
      <c r="CI212" s="38">
        <f t="shared" si="797"/>
        <v>0</v>
      </c>
      <c r="CJ212" s="38">
        <f t="shared" si="797"/>
        <v>0</v>
      </c>
      <c r="CK212" s="71">
        <f t="shared" si="797"/>
        <v>0</v>
      </c>
      <c r="CL212" s="67">
        <f t="shared" si="782"/>
        <v>0</v>
      </c>
      <c r="CM212" s="67">
        <f t="shared" si="782"/>
        <v>0</v>
      </c>
      <c r="CN212" s="67">
        <f t="shared" si="782"/>
        <v>0</v>
      </c>
      <c r="CO212" s="67">
        <f t="shared" si="782"/>
        <v>0</v>
      </c>
      <c r="CP212" s="67">
        <f t="shared" si="782"/>
        <v>0</v>
      </c>
      <c r="CQ212" s="67">
        <f t="shared" si="782"/>
        <v>0</v>
      </c>
      <c r="CR212" s="37">
        <f t="shared" si="783"/>
        <v>0</v>
      </c>
      <c r="CS212" s="39">
        <f t="shared" si="784"/>
        <v>0</v>
      </c>
      <c r="CT212" s="53">
        <f t="shared" si="785"/>
        <v>0</v>
      </c>
      <c r="CU212" s="39">
        <f t="shared" si="786"/>
        <v>0</v>
      </c>
      <c r="CV212" s="39">
        <f t="shared" si="787"/>
        <v>0</v>
      </c>
      <c r="CW212" s="39">
        <f t="shared" si="788"/>
        <v>0</v>
      </c>
      <c r="CX212" s="39">
        <f t="shared" si="789"/>
        <v>0</v>
      </c>
      <c r="CY212" s="39">
        <f t="shared" si="790"/>
        <v>0</v>
      </c>
      <c r="CZ212" s="39">
        <f t="shared" si="791"/>
        <v>0</v>
      </c>
      <c r="DA212" s="39">
        <f t="shared" si="792"/>
        <v>0</v>
      </c>
      <c r="DB212" s="39">
        <f t="shared" si="793"/>
        <v>0</v>
      </c>
      <c r="DC212" s="39">
        <f t="shared" si="794"/>
        <v>0</v>
      </c>
      <c r="DD212" s="39">
        <f>+HLOOKUP('Reporte Evolución Mensual'!$F$2-2,$CR$2:$DC$251, Input!$DG212, FALSE)</f>
        <v>0</v>
      </c>
      <c r="DE212" s="39">
        <f>+HLOOKUP('Reporte Evolución Mensual'!$F$2-1,$CR$2:$DC$251, Input!$DG212, FALSE)</f>
        <v>0</v>
      </c>
      <c r="DF212" s="39">
        <f>+HLOOKUP('Reporte Evolución Mensual'!$F$2,$CR$2:$DC$251, Input!$DG212, FALSE)</f>
        <v>0</v>
      </c>
      <c r="DG212" s="40">
        <f t="shared" si="795"/>
        <v>212</v>
      </c>
      <c r="DH212" s="37"/>
      <c r="DI212" s="37"/>
      <c r="DJ212" s="37"/>
      <c r="DK212" s="37"/>
      <c r="DL212" s="37"/>
      <c r="DM212" s="37"/>
      <c r="DN212" s="37"/>
      <c r="DO212" s="63"/>
      <c r="DP212" s="63"/>
      <c r="DQ212" s="63"/>
      <c r="DR212" s="63"/>
      <c r="DS212" s="75"/>
      <c r="DT212" s="75"/>
      <c r="DU212" s="75"/>
      <c r="DV212" s="345" t="s">
        <v>163</v>
      </c>
    </row>
    <row r="213" spans="1:126" ht="15" customHeight="1" x14ac:dyDescent="0.3">
      <c r="A213" s="1" t="str">
        <f t="shared" si="713"/>
        <v>ADIFSE</v>
      </c>
      <c r="B213" s="1" t="str">
        <f t="shared" si="714"/>
        <v>ADIFSE</v>
      </c>
      <c r="C213" s="1" t="str">
        <f t="shared" si="715"/>
        <v>MAY</v>
      </c>
      <c r="D213" s="75" t="s">
        <v>108</v>
      </c>
      <c r="E213" s="123" t="s">
        <v>333</v>
      </c>
      <c r="F213" s="126"/>
      <c r="G213" s="16"/>
      <c r="H213" s="7"/>
      <c r="I213" s="7"/>
      <c r="J213" s="7"/>
      <c r="K213" s="38"/>
      <c r="L213" s="38"/>
      <c r="M213" s="38"/>
      <c r="N213" s="38"/>
      <c r="O213" s="38"/>
      <c r="P213" s="38"/>
      <c r="Q213" s="67"/>
      <c r="R213" s="38"/>
      <c r="S213" s="38"/>
      <c r="T213" s="38"/>
      <c r="U213" s="38"/>
      <c r="V213" s="38"/>
      <c r="W213" s="71"/>
      <c r="X213" s="38"/>
      <c r="Y213" s="38"/>
      <c r="Z213" s="38"/>
      <c r="AA213" s="38"/>
      <c r="AB213" s="38"/>
      <c r="AC213" s="71"/>
      <c r="AD213" s="38"/>
      <c r="AE213" s="38"/>
      <c r="AF213" s="38"/>
      <c r="AG213" s="38"/>
      <c r="AH213" s="38"/>
      <c r="AI213" s="71"/>
      <c r="AJ213" s="38"/>
      <c r="AK213" s="38"/>
      <c r="AL213" s="38"/>
      <c r="AM213" s="38"/>
      <c r="AN213" s="38"/>
      <c r="AO213" s="71"/>
      <c r="AP213" s="38"/>
      <c r="AQ213" s="38"/>
      <c r="AR213" s="38"/>
      <c r="AS213" s="38"/>
      <c r="AT213" s="38"/>
      <c r="AU213" s="71"/>
      <c r="AV213" s="38"/>
      <c r="AW213" s="38"/>
      <c r="AX213" s="38"/>
      <c r="AY213" s="38"/>
      <c r="AZ213" s="38"/>
      <c r="BA213" s="71"/>
      <c r="BB213" s="38"/>
      <c r="BC213" s="38"/>
      <c r="BD213" s="38"/>
      <c r="BE213" s="38"/>
      <c r="BF213" s="38"/>
      <c r="BG213" s="71"/>
      <c r="BH213" s="38"/>
      <c r="BI213" s="38"/>
      <c r="BJ213" s="38"/>
      <c r="BK213" s="38"/>
      <c r="BL213" s="38"/>
      <c r="BM213" s="71"/>
      <c r="BN213" s="38"/>
      <c r="BO213" s="38"/>
      <c r="BP213" s="38"/>
      <c r="BQ213" s="38"/>
      <c r="BR213" s="38"/>
      <c r="BS213" s="71"/>
      <c r="BT213" s="38"/>
      <c r="BU213" s="38"/>
      <c r="BV213" s="38"/>
      <c r="BW213" s="38"/>
      <c r="BX213" s="38"/>
      <c r="BY213" s="71"/>
      <c r="BZ213" s="38"/>
      <c r="CA213" s="38"/>
      <c r="CB213" s="38"/>
      <c r="CC213" s="38"/>
      <c r="CD213" s="38"/>
      <c r="CE213" s="71"/>
      <c r="CF213" s="38"/>
      <c r="CG213" s="38"/>
      <c r="CH213" s="38"/>
      <c r="CI213" s="38"/>
      <c r="CJ213" s="38"/>
      <c r="CK213" s="71"/>
      <c r="CL213" s="67"/>
      <c r="CM213" s="67"/>
      <c r="CN213" s="67"/>
      <c r="CO213" s="67"/>
      <c r="CP213" s="67"/>
      <c r="CQ213" s="67"/>
      <c r="CR213" s="37"/>
      <c r="CS213" s="39"/>
      <c r="CT213" s="53"/>
      <c r="CU213" s="39"/>
      <c r="CV213" s="39"/>
      <c r="CW213" s="39"/>
      <c r="CX213" s="39"/>
      <c r="CY213" s="39"/>
      <c r="CZ213" s="39"/>
      <c r="DA213" s="39"/>
      <c r="DB213" s="39"/>
      <c r="DC213" s="39"/>
      <c r="DD213" s="39">
        <f>+HLOOKUP('Reporte Evolución Mensual'!$F$2-2,$CR$2:$DC$251, Input!$DG213, FALSE)</f>
        <v>728413654.39999998</v>
      </c>
      <c r="DE213" s="39">
        <f>+HLOOKUP('Reporte Evolución Mensual'!$F$2-1,$CR$2:$DC$251, Input!$DG213, FALSE)</f>
        <v>749074322.60570002</v>
      </c>
      <c r="DF213" s="39">
        <f>+HLOOKUP('Reporte Evolución Mensual'!$F$2,$CR$2:$DC$251, Input!$DG213, FALSE)</f>
        <v>799653349.12810004</v>
      </c>
      <c r="DG213" s="40">
        <f t="shared" si="795"/>
        <v>213</v>
      </c>
      <c r="DH213" s="37"/>
      <c r="DI213" s="37"/>
      <c r="DJ213" s="37"/>
      <c r="DK213" s="37"/>
      <c r="DL213" s="37"/>
      <c r="DM213" s="37"/>
      <c r="DN213" s="37"/>
      <c r="DO213" s="63"/>
      <c r="DP213" s="63"/>
      <c r="DQ213" s="63"/>
      <c r="DR213" s="63"/>
      <c r="DS213" s="75"/>
      <c r="DT213" s="75"/>
      <c r="DU213" s="75"/>
      <c r="DV213" s="345"/>
    </row>
    <row r="214" spans="1:126" ht="15" customHeight="1" x14ac:dyDescent="0.3">
      <c r="A214" s="1" t="str">
        <f t="shared" si="713"/>
        <v>ADIFSE</v>
      </c>
      <c r="B214" s="1" t="str">
        <f t="shared" si="714"/>
        <v>ADIFSE</v>
      </c>
      <c r="C214" s="1" t="str">
        <f t="shared" si="715"/>
        <v>MAY</v>
      </c>
      <c r="D214" s="41" t="s">
        <v>108</v>
      </c>
      <c r="E214" s="122" t="s">
        <v>258</v>
      </c>
      <c r="F214" s="133"/>
      <c r="G214" s="16" t="s">
        <v>230</v>
      </c>
      <c r="H214" s="7" t="s">
        <v>173</v>
      </c>
      <c r="I214" s="7" t="s">
        <v>173</v>
      </c>
      <c r="J214" s="32" t="s">
        <v>289</v>
      </c>
      <c r="K214" s="46"/>
      <c r="L214" s="46">
        <f t="shared" ref="L214:BW214" si="798">+L190+L212+L206</f>
        <v>0</v>
      </c>
      <c r="M214" s="46">
        <f t="shared" si="798"/>
        <v>0</v>
      </c>
      <c r="N214" s="46">
        <f t="shared" si="798"/>
        <v>0</v>
      </c>
      <c r="O214" s="46">
        <f t="shared" si="798"/>
        <v>0</v>
      </c>
      <c r="P214" s="46">
        <f t="shared" si="798"/>
        <v>0</v>
      </c>
      <c r="Q214" s="46">
        <f t="shared" si="798"/>
        <v>0</v>
      </c>
      <c r="R214" s="46">
        <f t="shared" si="798"/>
        <v>238339392.13999999</v>
      </c>
      <c r="S214" s="46">
        <f t="shared" si="798"/>
        <v>0</v>
      </c>
      <c r="T214" s="46">
        <f t="shared" si="798"/>
        <v>0</v>
      </c>
      <c r="U214" s="46">
        <f t="shared" si="798"/>
        <v>0</v>
      </c>
      <c r="V214" s="46">
        <f t="shared" si="798"/>
        <v>75729000</v>
      </c>
      <c r="W214" s="46">
        <f t="shared" si="798"/>
        <v>314068392.13999999</v>
      </c>
      <c r="X214" s="46">
        <f t="shared" si="798"/>
        <v>444976437.31999999</v>
      </c>
      <c r="Y214" s="46">
        <f t="shared" si="798"/>
        <v>0</v>
      </c>
      <c r="Z214" s="46">
        <f t="shared" si="798"/>
        <v>0</v>
      </c>
      <c r="AA214" s="46">
        <f t="shared" si="798"/>
        <v>200000000</v>
      </c>
      <c r="AB214" s="46">
        <f t="shared" si="798"/>
        <v>70308000</v>
      </c>
      <c r="AC214" s="46">
        <f t="shared" si="798"/>
        <v>715284437.31999993</v>
      </c>
      <c r="AD214" s="46">
        <f t="shared" si="798"/>
        <v>444788654.39999998</v>
      </c>
      <c r="AE214" s="46">
        <f t="shared" si="798"/>
        <v>0</v>
      </c>
      <c r="AF214" s="46">
        <f t="shared" si="798"/>
        <v>0</v>
      </c>
      <c r="AG214" s="46">
        <f t="shared" si="798"/>
        <v>200000000</v>
      </c>
      <c r="AH214" s="46">
        <f t="shared" si="798"/>
        <v>83625000</v>
      </c>
      <c r="AI214" s="46">
        <f t="shared" si="798"/>
        <v>728413654.39999998</v>
      </c>
      <c r="AJ214" s="46">
        <f t="shared" si="798"/>
        <v>527833322.60570002</v>
      </c>
      <c r="AK214" s="46">
        <f t="shared" si="798"/>
        <v>0</v>
      </c>
      <c r="AL214" s="46">
        <f t="shared" si="798"/>
        <v>0</v>
      </c>
      <c r="AM214" s="46">
        <f t="shared" si="798"/>
        <v>150000000</v>
      </c>
      <c r="AN214" s="46">
        <f t="shared" si="798"/>
        <v>71241000</v>
      </c>
      <c r="AO214" s="46">
        <f t="shared" si="798"/>
        <v>749074322.60570002</v>
      </c>
      <c r="AP214" s="46">
        <f t="shared" si="798"/>
        <v>577153349.12810004</v>
      </c>
      <c r="AQ214" s="46">
        <f t="shared" si="798"/>
        <v>0</v>
      </c>
      <c r="AR214" s="46">
        <f t="shared" si="798"/>
        <v>0</v>
      </c>
      <c r="AS214" s="46">
        <f t="shared" si="798"/>
        <v>150000000</v>
      </c>
      <c r="AT214" s="46">
        <f t="shared" si="798"/>
        <v>72500000</v>
      </c>
      <c r="AU214" s="46">
        <f t="shared" si="798"/>
        <v>799653349.12810004</v>
      </c>
      <c r="AV214" s="46">
        <f t="shared" si="798"/>
        <v>0</v>
      </c>
      <c r="AW214" s="46">
        <f t="shared" si="798"/>
        <v>0</v>
      </c>
      <c r="AX214" s="46">
        <f t="shared" si="798"/>
        <v>0</v>
      </c>
      <c r="AY214" s="46">
        <f t="shared" si="798"/>
        <v>0</v>
      </c>
      <c r="AZ214" s="46">
        <f t="shared" si="798"/>
        <v>0</v>
      </c>
      <c r="BA214" s="46">
        <f t="shared" si="798"/>
        <v>0</v>
      </c>
      <c r="BB214" s="46">
        <f t="shared" si="798"/>
        <v>0</v>
      </c>
      <c r="BC214" s="46">
        <f t="shared" si="798"/>
        <v>0</v>
      </c>
      <c r="BD214" s="46">
        <f t="shared" si="798"/>
        <v>0</v>
      </c>
      <c r="BE214" s="46">
        <f t="shared" si="798"/>
        <v>0</v>
      </c>
      <c r="BF214" s="46">
        <f t="shared" si="798"/>
        <v>0</v>
      </c>
      <c r="BG214" s="46">
        <f t="shared" si="798"/>
        <v>0</v>
      </c>
      <c r="BH214" s="46">
        <f t="shared" si="798"/>
        <v>0</v>
      </c>
      <c r="BI214" s="46">
        <f t="shared" si="798"/>
        <v>0</v>
      </c>
      <c r="BJ214" s="46">
        <f t="shared" si="798"/>
        <v>0</v>
      </c>
      <c r="BK214" s="46">
        <f t="shared" si="798"/>
        <v>0</v>
      </c>
      <c r="BL214" s="46">
        <f t="shared" si="798"/>
        <v>0</v>
      </c>
      <c r="BM214" s="46">
        <f t="shared" si="798"/>
        <v>0</v>
      </c>
      <c r="BN214" s="46">
        <f t="shared" si="798"/>
        <v>0</v>
      </c>
      <c r="BO214" s="46">
        <f t="shared" si="798"/>
        <v>0</v>
      </c>
      <c r="BP214" s="46">
        <f t="shared" si="798"/>
        <v>0</v>
      </c>
      <c r="BQ214" s="46">
        <f t="shared" si="798"/>
        <v>0</v>
      </c>
      <c r="BR214" s="46">
        <f t="shared" si="798"/>
        <v>0</v>
      </c>
      <c r="BS214" s="46">
        <f t="shared" si="798"/>
        <v>0</v>
      </c>
      <c r="BT214" s="46">
        <f t="shared" si="798"/>
        <v>0</v>
      </c>
      <c r="BU214" s="46">
        <f t="shared" si="798"/>
        <v>0</v>
      </c>
      <c r="BV214" s="46">
        <f t="shared" si="798"/>
        <v>0</v>
      </c>
      <c r="BW214" s="46">
        <f t="shared" si="798"/>
        <v>0</v>
      </c>
      <c r="BX214" s="46">
        <f t="shared" ref="BX214:CK214" si="799">+BX190+BX212+BX206</f>
        <v>0</v>
      </c>
      <c r="BY214" s="46">
        <f t="shared" si="799"/>
        <v>0</v>
      </c>
      <c r="BZ214" s="46">
        <f t="shared" si="799"/>
        <v>0</v>
      </c>
      <c r="CA214" s="46">
        <f t="shared" si="799"/>
        <v>0</v>
      </c>
      <c r="CB214" s="46">
        <f t="shared" si="799"/>
        <v>0</v>
      </c>
      <c r="CC214" s="46">
        <f t="shared" si="799"/>
        <v>0</v>
      </c>
      <c r="CD214" s="46">
        <f t="shared" si="799"/>
        <v>0</v>
      </c>
      <c r="CE214" s="46">
        <f t="shared" si="799"/>
        <v>0</v>
      </c>
      <c r="CF214" s="46">
        <f t="shared" si="799"/>
        <v>0</v>
      </c>
      <c r="CG214" s="46">
        <f t="shared" si="799"/>
        <v>0</v>
      </c>
      <c r="CH214" s="46">
        <f t="shared" si="799"/>
        <v>0</v>
      </c>
      <c r="CI214" s="46">
        <f t="shared" si="799"/>
        <v>0</v>
      </c>
      <c r="CJ214" s="46">
        <f t="shared" si="799"/>
        <v>0</v>
      </c>
      <c r="CK214" s="46">
        <f t="shared" si="799"/>
        <v>0</v>
      </c>
      <c r="CL214" s="67">
        <f t="shared" ref="CL214:CQ214" si="800">+R214+X214+AD214+AJ214+AP214+AV214+BB214+BH214+BN214+BT214+BZ214+CF214</f>
        <v>2233091155.5938001</v>
      </c>
      <c r="CM214" s="67">
        <f t="shared" si="800"/>
        <v>0</v>
      </c>
      <c r="CN214" s="67">
        <f t="shared" si="800"/>
        <v>0</v>
      </c>
      <c r="CO214" s="67">
        <f t="shared" si="800"/>
        <v>700000000</v>
      </c>
      <c r="CP214" s="67">
        <f t="shared" si="800"/>
        <v>373403000</v>
      </c>
      <c r="CQ214" s="67">
        <f t="shared" si="800"/>
        <v>3306494155.5938001</v>
      </c>
      <c r="CR214" s="37">
        <f t="shared" ref="CR214" si="801">+W214</f>
        <v>314068392.13999999</v>
      </c>
      <c r="CS214" s="39">
        <f t="shared" ref="CS214" si="802">+AC214</f>
        <v>715284437.31999993</v>
      </c>
      <c r="CT214" s="53">
        <f t="shared" ref="CT214" si="803">+AI214</f>
        <v>728413654.39999998</v>
      </c>
      <c r="CU214" s="39">
        <f t="shared" ref="CU214" si="804">+AO214</f>
        <v>749074322.60570002</v>
      </c>
      <c r="CV214" s="39">
        <f t="shared" ref="CV214" si="805">+AU214</f>
        <v>799653349.12810004</v>
      </c>
      <c r="CW214" s="39">
        <f t="shared" ref="CW214" si="806">+BA214</f>
        <v>0</v>
      </c>
      <c r="CX214" s="39">
        <f t="shared" ref="CX214" si="807">+BG214</f>
        <v>0</v>
      </c>
      <c r="CY214" s="39">
        <f t="shared" ref="CY214" si="808">+BM214</f>
        <v>0</v>
      </c>
      <c r="CZ214" s="39">
        <f t="shared" ref="CZ214" si="809">+BS214</f>
        <v>0</v>
      </c>
      <c r="DA214" s="39">
        <f t="shared" ref="DA214" si="810">+BY214</f>
        <v>0</v>
      </c>
      <c r="DB214" s="39">
        <f t="shared" ref="DB214" si="811">+CE214</f>
        <v>0</v>
      </c>
      <c r="DC214" s="39">
        <f t="shared" ref="DC214" si="812">+CK214</f>
        <v>0</v>
      </c>
      <c r="DD214" s="39">
        <f>+HLOOKUP('Reporte Evolución Mensual'!$F$2-2,$CR$2:$DC$251, Input!$DG214, FALSE)</f>
        <v>0</v>
      </c>
      <c r="DE214" s="39">
        <f>+HLOOKUP('Reporte Evolución Mensual'!$F$2-1,$CR$2:$DC$251, Input!$DG214, FALSE)</f>
        <v>0</v>
      </c>
      <c r="DF214" s="39">
        <f>+HLOOKUP('Reporte Evolución Mensual'!$F$2,$CR$2:$DC$251, Input!$DG214, FALSE)</f>
        <v>0</v>
      </c>
      <c r="DG214" s="40">
        <f t="shared" si="795"/>
        <v>214</v>
      </c>
      <c r="DH214" s="39"/>
      <c r="DI214" s="39"/>
      <c r="DJ214" s="39"/>
      <c r="DK214" s="39"/>
      <c r="DL214" s="39"/>
      <c r="DM214" s="39"/>
      <c r="DN214" s="39"/>
      <c r="DO214" s="58"/>
      <c r="DP214" s="58"/>
      <c r="DQ214" s="58"/>
      <c r="DR214" s="58"/>
      <c r="DS214" s="41"/>
      <c r="DT214" s="41"/>
      <c r="DU214" s="41"/>
      <c r="DV214" s="345"/>
    </row>
    <row r="215" spans="1:126" ht="15" customHeight="1" x14ac:dyDescent="0.3">
      <c r="A215" s="1" t="str">
        <f t="shared" si="713"/>
        <v>ADIFSE</v>
      </c>
      <c r="B215" s="1" t="str">
        <f t="shared" si="714"/>
        <v>ADIFSE</v>
      </c>
      <c r="C215" s="1" t="str">
        <f t="shared" si="715"/>
        <v>MAY</v>
      </c>
      <c r="D215" s="41" t="s">
        <v>108</v>
      </c>
      <c r="E215" s="122" t="s">
        <v>333</v>
      </c>
      <c r="F215" s="133"/>
      <c r="G215" s="16"/>
      <c r="H215" s="7"/>
      <c r="I215" s="7"/>
      <c r="J215" s="7"/>
      <c r="K215" s="88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  <c r="BP215" s="46"/>
      <c r="BQ215" s="46"/>
      <c r="BR215" s="46"/>
      <c r="BS215" s="46"/>
      <c r="BT215" s="46"/>
      <c r="BU215" s="46"/>
      <c r="BV215" s="46"/>
      <c r="BW215" s="46"/>
      <c r="BX215" s="46"/>
      <c r="BY215" s="46"/>
      <c r="BZ215" s="46"/>
      <c r="CA215" s="46"/>
      <c r="CB215" s="46"/>
      <c r="CC215" s="46"/>
      <c r="CD215" s="46"/>
      <c r="CE215" s="46"/>
      <c r="CF215" s="46"/>
      <c r="CG215" s="46"/>
      <c r="CH215" s="46"/>
      <c r="CI215" s="46"/>
      <c r="CJ215" s="46"/>
      <c r="CK215" s="46"/>
      <c r="CL215" s="67"/>
      <c r="CM215" s="67"/>
      <c r="CN215" s="67"/>
      <c r="CO215" s="67"/>
      <c r="CP215" s="67"/>
      <c r="CQ215" s="67"/>
      <c r="CR215" s="39"/>
      <c r="CS215" s="39"/>
      <c r="CT215" s="53"/>
      <c r="CU215" s="39"/>
      <c r="CV215" s="39"/>
      <c r="CW215" s="39"/>
      <c r="CX215" s="39"/>
      <c r="CY215" s="39"/>
      <c r="CZ215" s="39"/>
      <c r="DA215" s="39"/>
      <c r="DB215" s="39"/>
      <c r="DC215" s="39"/>
      <c r="DD215" s="39">
        <f>+HLOOKUP('Reporte Evolución Mensual'!$F$2-2,$CR$2:$DC$251, Input!$DG215, FALSE)</f>
        <v>0</v>
      </c>
      <c r="DE215" s="39">
        <f>+HLOOKUP('Reporte Evolución Mensual'!$F$2-1,$CR$2:$DC$251, Input!$DG215, FALSE)</f>
        <v>0</v>
      </c>
      <c r="DF215" s="39">
        <f>+HLOOKUP('Reporte Evolución Mensual'!$F$2,$CR$2:$DC$251, Input!$DG215, FALSE)</f>
        <v>0</v>
      </c>
      <c r="DG215" s="40">
        <f t="shared" si="795"/>
        <v>215</v>
      </c>
      <c r="DH215" s="39"/>
      <c r="DI215" s="39"/>
      <c r="DJ215" s="39"/>
      <c r="DK215" s="39"/>
      <c r="DL215" s="39"/>
      <c r="DM215" s="39"/>
      <c r="DN215" s="39"/>
      <c r="DO215" s="58"/>
      <c r="DP215" s="58"/>
      <c r="DQ215" s="58"/>
      <c r="DR215" s="58"/>
      <c r="DS215" s="41"/>
      <c r="DT215" s="41"/>
      <c r="DU215" s="41"/>
      <c r="DV215" s="345"/>
    </row>
    <row r="216" spans="1:126" ht="15" customHeight="1" x14ac:dyDescent="0.3">
      <c r="A216" s="1" t="str">
        <f t="shared" si="713"/>
        <v>ADIFSE</v>
      </c>
      <c r="B216" s="1" t="str">
        <f t="shared" si="714"/>
        <v>ADIFSE</v>
      </c>
      <c r="C216" s="1" t="str">
        <f t="shared" si="715"/>
        <v>MAY</v>
      </c>
      <c r="D216" s="1" t="s">
        <v>108</v>
      </c>
      <c r="E216" s="124" t="s">
        <v>259</v>
      </c>
      <c r="F216" s="133"/>
      <c r="G216" s="16"/>
      <c r="H216" s="7"/>
      <c r="I216" s="7"/>
      <c r="J216" s="7"/>
      <c r="K216" s="88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  <c r="BW216" s="46"/>
      <c r="BX216" s="46"/>
      <c r="BY216" s="46"/>
      <c r="BZ216" s="46"/>
      <c r="CA216" s="46"/>
      <c r="CB216" s="46"/>
      <c r="CC216" s="46"/>
      <c r="CD216" s="46"/>
      <c r="CE216" s="46"/>
      <c r="CF216" s="46"/>
      <c r="CG216" s="46"/>
      <c r="CH216" s="46"/>
      <c r="CI216" s="46"/>
      <c r="CJ216" s="46"/>
      <c r="CK216" s="46"/>
      <c r="CL216" s="67"/>
      <c r="CM216" s="67"/>
      <c r="CN216" s="67"/>
      <c r="CO216" s="67"/>
      <c r="CP216" s="67"/>
      <c r="CQ216" s="67"/>
      <c r="CR216" s="37"/>
      <c r="CS216" s="39"/>
      <c r="CT216" s="53"/>
      <c r="CU216" s="39"/>
      <c r="CV216" s="39"/>
      <c r="CW216" s="39"/>
      <c r="CX216" s="39"/>
      <c r="CY216" s="39"/>
      <c r="CZ216" s="39"/>
      <c r="DA216" s="39"/>
      <c r="DB216" s="39"/>
      <c r="DC216" s="39"/>
      <c r="DD216" s="39">
        <f>+HLOOKUP('Reporte Evolución Mensual'!$F$2-2,$CR$2:$DC$251, Input!$DG216, FALSE)</f>
        <v>10606121.666666666</v>
      </c>
      <c r="DE216" s="39">
        <f>+HLOOKUP('Reporte Evolución Mensual'!$F$2-1,$CR$2:$DC$251, Input!$DG216, FALSE)</f>
        <v>187119305.44513953</v>
      </c>
      <c r="DF216" s="39">
        <f>+HLOOKUP('Reporte Evolución Mensual'!$F$2,$CR$2:$DC$251, Input!$DG216, FALSE)</f>
        <v>29270178.64310088</v>
      </c>
      <c r="DG216" s="40">
        <f t="shared" si="795"/>
        <v>216</v>
      </c>
      <c r="DH216" s="39"/>
      <c r="DI216" s="39"/>
      <c r="DJ216" s="39"/>
      <c r="DK216" s="39"/>
      <c r="DL216" s="39"/>
      <c r="DM216" s="39"/>
      <c r="DN216" s="39"/>
      <c r="DO216" s="58"/>
      <c r="DP216" s="58"/>
      <c r="DQ216" s="58"/>
      <c r="DR216" s="58"/>
      <c r="DS216" s="41"/>
      <c r="DT216" s="41"/>
      <c r="DU216" s="41"/>
      <c r="DV216" s="345"/>
    </row>
    <row r="217" spans="1:126" ht="15" customHeight="1" x14ac:dyDescent="0.3">
      <c r="A217" s="1" t="str">
        <f t="shared" si="713"/>
        <v>ADIFSE</v>
      </c>
      <c r="B217" s="1" t="str">
        <f t="shared" si="714"/>
        <v>ADIFSE</v>
      </c>
      <c r="C217" s="1" t="str">
        <f t="shared" si="715"/>
        <v>MAY</v>
      </c>
      <c r="D217" s="75" t="s">
        <v>163</v>
      </c>
      <c r="E217" s="123" t="str">
        <f>CONCATENATE(H217," - ",I217)</f>
        <v>Incremento de Activos Financieros - Caja y Bancos</v>
      </c>
      <c r="F217" s="126">
        <v>65</v>
      </c>
      <c r="G217" s="16" t="s">
        <v>259</v>
      </c>
      <c r="H217" s="7" t="s">
        <v>260</v>
      </c>
      <c r="I217" s="7" t="s">
        <v>450</v>
      </c>
      <c r="J217" s="32" t="s">
        <v>289</v>
      </c>
      <c r="K217" s="88">
        <f>+IF((SUM(K$23:K$28)+K$20-K$64-K$94-SUM(K$99:K$102)-K224)&gt;0,(SUM(K$23:K$28)+K$20-K$64-K$94-SUM(K$99:K$102)-K224),0)</f>
        <v>0</v>
      </c>
      <c r="L217" s="51"/>
      <c r="M217" s="51"/>
      <c r="N217" s="51"/>
      <c r="O217" s="51"/>
      <c r="P217" s="51"/>
      <c r="Q217" s="67">
        <f t="shared" ref="Q217" si="813">SUM(L217:P217)</f>
        <v>0</v>
      </c>
      <c r="R217" s="38">
        <f t="shared" ref="R217:CC217" si="814">+IF((SUM(R$23:R$28)+R$20-R$64-R$94-SUM(R$99:R$102)-R224)&gt;0,(SUM(R$23:R$28)+R$20-R$64-R$94-SUM(R$99:R$102)-R224),0)</f>
        <v>0</v>
      </c>
      <c r="S217" s="38">
        <f t="shared" si="814"/>
        <v>0</v>
      </c>
      <c r="T217" s="38">
        <f t="shared" si="814"/>
        <v>0</v>
      </c>
      <c r="U217" s="38">
        <f t="shared" si="814"/>
        <v>0</v>
      </c>
      <c r="V217" s="38">
        <f t="shared" si="814"/>
        <v>0</v>
      </c>
      <c r="W217" s="71">
        <f>+SUM(R217:V217)</f>
        <v>0</v>
      </c>
      <c r="X217" s="38">
        <f t="shared" si="814"/>
        <v>0</v>
      </c>
      <c r="Y217" s="38">
        <f t="shared" si="814"/>
        <v>8100000</v>
      </c>
      <c r="Z217" s="38">
        <f t="shared" si="814"/>
        <v>0</v>
      </c>
      <c r="AA217" s="38">
        <f t="shared" si="814"/>
        <v>0</v>
      </c>
      <c r="AB217" s="38">
        <f t="shared" si="814"/>
        <v>0</v>
      </c>
      <c r="AC217" s="71">
        <f t="shared" ref="AC217:AC218" si="815">+SUM(X217:AB217)</f>
        <v>8100000</v>
      </c>
      <c r="AD217" s="38">
        <f t="shared" si="814"/>
        <v>0</v>
      </c>
      <c r="AE217" s="38">
        <f t="shared" si="814"/>
        <v>10606121.666666666</v>
      </c>
      <c r="AF217" s="38">
        <f t="shared" si="814"/>
        <v>0</v>
      </c>
      <c r="AG217" s="38">
        <f t="shared" si="814"/>
        <v>0</v>
      </c>
      <c r="AH217" s="38">
        <f t="shared" si="814"/>
        <v>0</v>
      </c>
      <c r="AI217" s="71">
        <f t="shared" ref="AI217:AI218" si="816">+SUM(AD217:AH217)</f>
        <v>10606121.666666666</v>
      </c>
      <c r="AJ217" s="38">
        <f t="shared" si="814"/>
        <v>170045480.32684785</v>
      </c>
      <c r="AK217" s="38">
        <f t="shared" si="814"/>
        <v>17073825.118291669</v>
      </c>
      <c r="AL217" s="38">
        <f t="shared" si="814"/>
        <v>0</v>
      </c>
      <c r="AM217" s="38">
        <f t="shared" si="814"/>
        <v>0</v>
      </c>
      <c r="AN217" s="38">
        <f t="shared" si="814"/>
        <v>0</v>
      </c>
      <c r="AO217" s="71">
        <f t="shared" ref="AO217:AO218" si="817">+SUM(AJ217:AN217)</f>
        <v>187119305.44513953</v>
      </c>
      <c r="AP217" s="38">
        <f t="shared" si="814"/>
        <v>14127345.99147588</v>
      </c>
      <c r="AQ217" s="38">
        <f t="shared" si="814"/>
        <v>15142832.651625</v>
      </c>
      <c r="AR217" s="38">
        <f t="shared" si="814"/>
        <v>0</v>
      </c>
      <c r="AS217" s="38">
        <f t="shared" si="814"/>
        <v>0</v>
      </c>
      <c r="AT217" s="38">
        <f t="shared" si="814"/>
        <v>0</v>
      </c>
      <c r="AU217" s="71">
        <f t="shared" ref="AU217:AU218" si="818">+SUM(AP217:AT217)</f>
        <v>29270178.64310088</v>
      </c>
      <c r="AV217" s="38">
        <f t="shared" si="814"/>
        <v>0</v>
      </c>
      <c r="AW217" s="38">
        <f t="shared" si="814"/>
        <v>7990453.4516249998</v>
      </c>
      <c r="AX217" s="38">
        <f t="shared" si="814"/>
        <v>0</v>
      </c>
      <c r="AY217" s="38">
        <f t="shared" si="814"/>
        <v>408.00852409005165</v>
      </c>
      <c r="AZ217" s="38">
        <f t="shared" si="814"/>
        <v>0</v>
      </c>
      <c r="BA217" s="71">
        <f t="shared" ref="BA217:BA218" si="819">+SUM(AV217:AZ217)</f>
        <v>7990861.4601490898</v>
      </c>
      <c r="BB217" s="38">
        <f t="shared" si="814"/>
        <v>0</v>
      </c>
      <c r="BC217" s="38">
        <f t="shared" si="814"/>
        <v>7990453.4516249895</v>
      </c>
      <c r="BD217" s="38">
        <f t="shared" si="814"/>
        <v>0</v>
      </c>
      <c r="BE217" s="38">
        <f t="shared" si="814"/>
        <v>0</v>
      </c>
      <c r="BF217" s="38">
        <f t="shared" si="814"/>
        <v>0</v>
      </c>
      <c r="BG217" s="71">
        <f t="shared" ref="BG217:BG218" si="820">+SUM(BB217:BF217)</f>
        <v>7990453.4516249895</v>
      </c>
      <c r="BH217" s="38">
        <f t="shared" si="814"/>
        <v>0</v>
      </c>
      <c r="BI217" s="38">
        <f t="shared" si="814"/>
        <v>148936853.45162499</v>
      </c>
      <c r="BJ217" s="38">
        <f t="shared" si="814"/>
        <v>0</v>
      </c>
      <c r="BK217" s="38">
        <f t="shared" si="814"/>
        <v>0</v>
      </c>
      <c r="BL217" s="38">
        <f t="shared" si="814"/>
        <v>0</v>
      </c>
      <c r="BM217" s="71">
        <f t="shared" ref="BM217:BM218" si="821">+SUM(BH217:BL217)</f>
        <v>148936853.45162499</v>
      </c>
      <c r="BN217" s="38">
        <f t="shared" si="814"/>
        <v>0</v>
      </c>
      <c r="BO217" s="38">
        <f t="shared" si="814"/>
        <v>16411149.984999999</v>
      </c>
      <c r="BP217" s="38">
        <f t="shared" si="814"/>
        <v>0</v>
      </c>
      <c r="BQ217" s="38">
        <f t="shared" si="814"/>
        <v>0</v>
      </c>
      <c r="BR217" s="38">
        <f t="shared" si="814"/>
        <v>0</v>
      </c>
      <c r="BS217" s="71">
        <f t="shared" ref="BS217:BS218" si="822">+SUM(BN217:BR217)</f>
        <v>16411149.984999999</v>
      </c>
      <c r="BT217" s="38">
        <f t="shared" si="814"/>
        <v>0</v>
      </c>
      <c r="BU217" s="38">
        <f t="shared" si="814"/>
        <v>10894847.35</v>
      </c>
      <c r="BV217" s="38">
        <f t="shared" si="814"/>
        <v>0</v>
      </c>
      <c r="BW217" s="38">
        <f t="shared" si="814"/>
        <v>0</v>
      </c>
      <c r="BX217" s="38">
        <f t="shared" si="814"/>
        <v>0</v>
      </c>
      <c r="BY217" s="71">
        <f t="shared" ref="BY217:BY218" si="823">+SUM(BT217:BX217)</f>
        <v>10894847.35</v>
      </c>
      <c r="BZ217" s="38">
        <f t="shared" si="814"/>
        <v>0</v>
      </c>
      <c r="CA217" s="38">
        <f t="shared" si="814"/>
        <v>16066952.449999999</v>
      </c>
      <c r="CB217" s="38">
        <f t="shared" si="814"/>
        <v>0</v>
      </c>
      <c r="CC217" s="38">
        <f t="shared" si="814"/>
        <v>0</v>
      </c>
      <c r="CD217" s="38">
        <f t="shared" ref="CD217:CJ217" si="824">+IF((SUM(CD$23:CD$28)+CD$20-CD$64-CD$94-SUM(CD$99:CD$102)-CD224)&gt;0,(SUM(CD$23:CD$28)+CD$20-CD$64-CD$94-SUM(CD$99:CD$102)-CD224),0)</f>
        <v>0</v>
      </c>
      <c r="CE217" s="71">
        <f t="shared" ref="CE217:CE218" si="825">+SUM(BZ217:CD217)</f>
        <v>16066952.449999999</v>
      </c>
      <c r="CF217" s="38">
        <f t="shared" si="824"/>
        <v>0</v>
      </c>
      <c r="CG217" s="38">
        <f t="shared" si="824"/>
        <v>4305900</v>
      </c>
      <c r="CH217" s="38">
        <f t="shared" si="824"/>
        <v>0</v>
      </c>
      <c r="CI217" s="38">
        <f t="shared" si="824"/>
        <v>0</v>
      </c>
      <c r="CJ217" s="38">
        <f t="shared" si="824"/>
        <v>0</v>
      </c>
      <c r="CK217" s="71">
        <f t="shared" ref="CK217:CK218" si="826">+SUM(CF217:CJ217)</f>
        <v>4305900</v>
      </c>
      <c r="CL217" s="67">
        <f t="shared" ref="CL217" si="827">+R217+X217+AD217+AJ217+AP217+AV217+BB217+BH217+BN217+BT217+BZ217+CF217</f>
        <v>184172826.31832373</v>
      </c>
      <c r="CM217" s="67">
        <f t="shared" ref="CM217" si="828">+S217+Y217+AE217+AK217+AQ217+AW217+BC217+BI217+BO217+BU217+CA217+CG217</f>
        <v>263519389.57645831</v>
      </c>
      <c r="CN217" s="67">
        <f t="shared" ref="CN217" si="829">+T217+Z217+AF217+AL217+AR217+AX217+BD217+BJ217+BP217+BV217+CB217+CH217</f>
        <v>0</v>
      </c>
      <c r="CO217" s="67">
        <f t="shared" ref="CO217" si="830">+U217+AA217+AG217+AM217+AS217+AY217+BE217+BK217+BQ217+BW217+CC217+CI217</f>
        <v>408.00852409005165</v>
      </c>
      <c r="CP217" s="67">
        <f t="shared" ref="CP217" si="831">+V217+AB217+AH217+AN217+AT217+AZ217+BF217+BL217+BR217+BX217+CD217+CJ217</f>
        <v>0</v>
      </c>
      <c r="CQ217" s="67">
        <f t="shared" ref="CQ217" si="832">+W217+AC217+AI217+AO217+AU217+BA217+BG217+BM217+BS217+BY217+CE217+CK217</f>
        <v>447692623.90330619</v>
      </c>
      <c r="CR217" s="37">
        <f t="shared" ref="CR217" si="833">+W217</f>
        <v>0</v>
      </c>
      <c r="CS217" s="39">
        <f t="shared" ref="CS217" si="834">+AC217</f>
        <v>8100000</v>
      </c>
      <c r="CT217" s="53">
        <f t="shared" ref="CT217" si="835">+AI217</f>
        <v>10606121.666666666</v>
      </c>
      <c r="CU217" s="39">
        <f t="shared" ref="CU217" si="836">+AO217</f>
        <v>187119305.44513953</v>
      </c>
      <c r="CV217" s="39">
        <f t="shared" ref="CV217" si="837">+AU217</f>
        <v>29270178.64310088</v>
      </c>
      <c r="CW217" s="39">
        <f t="shared" ref="CW217" si="838">+BA217</f>
        <v>7990861.4601490898</v>
      </c>
      <c r="CX217" s="39">
        <f t="shared" ref="CX217" si="839">+BG217</f>
        <v>7990453.4516249895</v>
      </c>
      <c r="CY217" s="39">
        <f t="shared" ref="CY217" si="840">+BM217</f>
        <v>148936853.45162499</v>
      </c>
      <c r="CZ217" s="39">
        <f t="shared" ref="CZ217" si="841">+BS217</f>
        <v>16411149.984999999</v>
      </c>
      <c r="DA217" s="39">
        <f t="shared" ref="DA217" si="842">+BY217</f>
        <v>10894847.35</v>
      </c>
      <c r="DB217" s="39">
        <f t="shared" ref="DB217" si="843">+CE217</f>
        <v>16066952.449999999</v>
      </c>
      <c r="DC217" s="39">
        <f t="shared" ref="DC217" si="844">+CK217</f>
        <v>4305900</v>
      </c>
      <c r="DD217" s="39">
        <f>+HLOOKUP('Reporte Evolución Mensual'!$F$2-2,$CR$2:$DC$251, Input!$DG217, FALSE)</f>
        <v>0</v>
      </c>
      <c r="DE217" s="39">
        <f>+HLOOKUP('Reporte Evolución Mensual'!$F$2-1,$CR$2:$DC$251, Input!$DG217, FALSE)</f>
        <v>0</v>
      </c>
      <c r="DF217" s="39">
        <f>+HLOOKUP('Reporte Evolución Mensual'!$F$2,$CR$2:$DC$251, Input!$DG217, FALSE)</f>
        <v>0</v>
      </c>
      <c r="DG217" s="40">
        <f t="shared" si="795"/>
        <v>217</v>
      </c>
      <c r="DH217" s="37"/>
      <c r="DI217" s="37"/>
      <c r="DJ217" s="37"/>
      <c r="DK217" s="37"/>
      <c r="DL217" s="37"/>
      <c r="DM217" s="37"/>
      <c r="DN217" s="37"/>
      <c r="DO217" s="63"/>
      <c r="DP217" s="63"/>
      <c r="DQ217" s="63"/>
      <c r="DR217" s="63"/>
      <c r="DS217" s="75"/>
      <c r="DT217" s="75"/>
      <c r="DU217" s="75"/>
      <c r="DV217" s="345"/>
    </row>
    <row r="218" spans="1:126" ht="15" customHeight="1" x14ac:dyDescent="0.3">
      <c r="A218" s="1" t="str">
        <f t="shared" si="713"/>
        <v>ADIFSE</v>
      </c>
      <c r="B218" s="1" t="str">
        <f t="shared" si="714"/>
        <v>ADIFSE</v>
      </c>
      <c r="C218" s="1" t="str">
        <f t="shared" si="715"/>
        <v>MAY</v>
      </c>
      <c r="D218" s="75" t="s">
        <v>163</v>
      </c>
      <c r="E218" s="123" t="str">
        <f>CONCATENATE(H218," - ",I218)</f>
        <v>Incremento de Activos Financieros - Inversiones Financieras Temporarias</v>
      </c>
      <c r="F218" s="126">
        <v>65</v>
      </c>
      <c r="G218" s="16" t="s">
        <v>259</v>
      </c>
      <c r="H218" s="7" t="s">
        <v>260</v>
      </c>
      <c r="I218" s="7" t="s">
        <v>452</v>
      </c>
      <c r="J218" s="32" t="s">
        <v>289</v>
      </c>
      <c r="K218" s="88"/>
      <c r="L218" s="51"/>
      <c r="M218" s="51"/>
      <c r="N218" s="51"/>
      <c r="O218" s="51"/>
      <c r="P218" s="51"/>
      <c r="Q218" s="67">
        <f t="shared" ref="Q218" si="845">SUM(L218:P218)</f>
        <v>0</v>
      </c>
      <c r="R218" s="38"/>
      <c r="S218" s="38"/>
      <c r="T218" s="38"/>
      <c r="U218" s="38"/>
      <c r="V218" s="38"/>
      <c r="W218" s="71">
        <f>+SUM(R218:V218)</f>
        <v>0</v>
      </c>
      <c r="X218" s="38"/>
      <c r="Y218" s="38"/>
      <c r="Z218" s="38"/>
      <c r="AA218" s="38"/>
      <c r="AB218" s="38"/>
      <c r="AC218" s="71">
        <f t="shared" si="815"/>
        <v>0</v>
      </c>
      <c r="AD218" s="38"/>
      <c r="AE218" s="38"/>
      <c r="AF218" s="38"/>
      <c r="AG218" s="38"/>
      <c r="AH218" s="38"/>
      <c r="AI218" s="71">
        <f t="shared" si="816"/>
        <v>0</v>
      </c>
      <c r="AJ218" s="38"/>
      <c r="AK218" s="38"/>
      <c r="AL218" s="38"/>
      <c r="AM218" s="38"/>
      <c r="AN218" s="38"/>
      <c r="AO218" s="71">
        <f t="shared" si="817"/>
        <v>0</v>
      </c>
      <c r="AP218" s="38"/>
      <c r="AQ218" s="38"/>
      <c r="AR218" s="38"/>
      <c r="AS218" s="38"/>
      <c r="AT218" s="38"/>
      <c r="AU218" s="71">
        <f t="shared" si="818"/>
        <v>0</v>
      </c>
      <c r="AV218" s="38"/>
      <c r="AW218" s="38"/>
      <c r="AX218" s="38"/>
      <c r="AY218" s="38"/>
      <c r="AZ218" s="38"/>
      <c r="BA218" s="71">
        <f t="shared" si="819"/>
        <v>0</v>
      </c>
      <c r="BB218" s="38"/>
      <c r="BC218" s="38"/>
      <c r="BD218" s="38"/>
      <c r="BE218" s="38"/>
      <c r="BF218" s="38"/>
      <c r="BG218" s="71">
        <f t="shared" si="820"/>
        <v>0</v>
      </c>
      <c r="BH218" s="38"/>
      <c r="BI218" s="38"/>
      <c r="BJ218" s="38"/>
      <c r="BK218" s="38"/>
      <c r="BL218" s="38"/>
      <c r="BM218" s="71">
        <f t="shared" si="821"/>
        <v>0</v>
      </c>
      <c r="BN218" s="38"/>
      <c r="BO218" s="38"/>
      <c r="BP218" s="38"/>
      <c r="BQ218" s="38"/>
      <c r="BR218" s="38"/>
      <c r="BS218" s="71">
        <f t="shared" si="822"/>
        <v>0</v>
      </c>
      <c r="BT218" s="38"/>
      <c r="BU218" s="38"/>
      <c r="BV218" s="38"/>
      <c r="BW218" s="38"/>
      <c r="BX218" s="38"/>
      <c r="BY218" s="71">
        <f t="shared" si="823"/>
        <v>0</v>
      </c>
      <c r="BZ218" s="38"/>
      <c r="CA218" s="38"/>
      <c r="CB218" s="38"/>
      <c r="CC218" s="38"/>
      <c r="CD218" s="38"/>
      <c r="CE218" s="71">
        <f t="shared" si="825"/>
        <v>0</v>
      </c>
      <c r="CF218" s="38"/>
      <c r="CG218" s="38"/>
      <c r="CH218" s="38"/>
      <c r="CI218" s="38"/>
      <c r="CJ218" s="38"/>
      <c r="CK218" s="71">
        <f t="shared" si="826"/>
        <v>0</v>
      </c>
      <c r="CL218" s="67">
        <f t="shared" ref="CL218" si="846">+R218+X218+AD218+AJ218+AP218+AV218+BB218+BH218+BN218+BT218+BZ218+CF218</f>
        <v>0</v>
      </c>
      <c r="CM218" s="67">
        <f t="shared" ref="CM218" si="847">+S218+Y218+AE218+AK218+AQ218+AW218+BC218+BI218+BO218+BU218+CA218+CG218</f>
        <v>0</v>
      </c>
      <c r="CN218" s="67">
        <f t="shared" ref="CN218" si="848">+T218+Z218+AF218+AL218+AR218+AX218+BD218+BJ218+BP218+BV218+CB218+CH218</f>
        <v>0</v>
      </c>
      <c r="CO218" s="67">
        <f t="shared" ref="CO218" si="849">+U218+AA218+AG218+AM218+AS218+AY218+BE218+BK218+BQ218+BW218+CC218+CI218</f>
        <v>0</v>
      </c>
      <c r="CP218" s="67">
        <f t="shared" ref="CP218" si="850">+V218+AB218+AH218+AN218+AT218+AZ218+BF218+BL218+BR218+BX218+CD218+CJ218</f>
        <v>0</v>
      </c>
      <c r="CQ218" s="67">
        <f t="shared" ref="CQ218" si="851">+W218+AC218+AI218+AO218+AU218+BA218+BG218+BM218+BS218+BY218+CE218+CK218</f>
        <v>0</v>
      </c>
      <c r="CR218" s="37">
        <f t="shared" ref="CR218" si="852">+W218</f>
        <v>0</v>
      </c>
      <c r="CS218" s="39">
        <f t="shared" ref="CS218" si="853">+AC218</f>
        <v>0</v>
      </c>
      <c r="CT218" s="53">
        <f t="shared" ref="CT218" si="854">+AI218</f>
        <v>0</v>
      </c>
      <c r="CU218" s="39">
        <f t="shared" ref="CU218" si="855">+AO218</f>
        <v>0</v>
      </c>
      <c r="CV218" s="39">
        <f t="shared" ref="CV218" si="856">+AU218</f>
        <v>0</v>
      </c>
      <c r="CW218" s="39">
        <f t="shared" ref="CW218" si="857">+BA218</f>
        <v>0</v>
      </c>
      <c r="CX218" s="39">
        <f t="shared" ref="CX218" si="858">+BG218</f>
        <v>0</v>
      </c>
      <c r="CY218" s="39">
        <f t="shared" ref="CY218" si="859">+BM218</f>
        <v>0</v>
      </c>
      <c r="CZ218" s="39">
        <f t="shared" ref="CZ218" si="860">+BS218</f>
        <v>0</v>
      </c>
      <c r="DA218" s="39">
        <f t="shared" ref="DA218" si="861">+BY218</f>
        <v>0</v>
      </c>
      <c r="DB218" s="39">
        <f t="shared" ref="DB218" si="862">+CE218</f>
        <v>0</v>
      </c>
      <c r="DC218" s="39">
        <f t="shared" ref="DC218" si="863">+CK218</f>
        <v>0</v>
      </c>
      <c r="DD218" s="39">
        <f>+HLOOKUP('Reporte Evolución Mensual'!$F$2-2,$CR$2:$DC$251, Input!$DG218, FALSE)</f>
        <v>0</v>
      </c>
      <c r="DE218" s="39">
        <f>+HLOOKUP('Reporte Evolución Mensual'!$F$2-1,$CR$2:$DC$251, Input!$DG218, FALSE)</f>
        <v>0</v>
      </c>
      <c r="DF218" s="39">
        <f>+HLOOKUP('Reporte Evolución Mensual'!$F$2,$CR$2:$DC$251, Input!$DG218, FALSE)</f>
        <v>0</v>
      </c>
      <c r="DG218" s="40">
        <f t="shared" si="795"/>
        <v>218</v>
      </c>
      <c r="DH218" s="37"/>
      <c r="DI218" s="37"/>
      <c r="DJ218" s="37"/>
      <c r="DK218" s="37"/>
      <c r="DL218" s="37"/>
      <c r="DM218" s="37"/>
      <c r="DN218" s="37"/>
      <c r="DO218" s="63"/>
      <c r="DP218" s="63"/>
      <c r="DQ218" s="63"/>
      <c r="DR218" s="63"/>
      <c r="DS218" s="75"/>
      <c r="DT218" s="75"/>
      <c r="DU218" s="75"/>
      <c r="DV218" s="345" t="s">
        <v>163</v>
      </c>
    </row>
    <row r="219" spans="1:126" ht="15" customHeight="1" x14ac:dyDescent="0.3">
      <c r="A219" s="1" t="str">
        <f t="shared" si="713"/>
        <v>ADIFSE</v>
      </c>
      <c r="B219" s="1" t="str">
        <f t="shared" si="714"/>
        <v>ADIFSE</v>
      </c>
      <c r="C219" s="1" t="str">
        <f t="shared" si="715"/>
        <v>MAY</v>
      </c>
      <c r="D219" s="41" t="s">
        <v>163</v>
      </c>
      <c r="E219" s="123" t="str">
        <f>CONCATENATE(H219," - ",I219)</f>
        <v>Incremento de Activos Financieros - Cuentas a Cobrar</v>
      </c>
      <c r="F219" s="127">
        <v>66</v>
      </c>
      <c r="G219" s="16" t="s">
        <v>259</v>
      </c>
      <c r="H219" s="7" t="s">
        <v>260</v>
      </c>
      <c r="I219" s="7" t="s">
        <v>261</v>
      </c>
      <c r="J219" s="32" t="s">
        <v>289</v>
      </c>
      <c r="K219" s="38"/>
      <c r="L219" s="51"/>
      <c r="M219" s="51"/>
      <c r="N219" s="51"/>
      <c r="O219" s="51"/>
      <c r="P219" s="51"/>
      <c r="Q219" s="67">
        <f t="shared" ref="Q219:Q222" si="864">SUM(L219:P219)</f>
        <v>0</v>
      </c>
      <c r="R219" s="51"/>
      <c r="S219" s="51"/>
      <c r="T219" s="51"/>
      <c r="U219" s="51"/>
      <c r="V219" s="51"/>
      <c r="W219" s="68">
        <f t="shared" ref="W219:W222" si="865">SUM(R219:V219)</f>
        <v>0</v>
      </c>
      <c r="X219" s="51"/>
      <c r="Y219" s="51"/>
      <c r="Z219" s="51"/>
      <c r="AA219" s="51"/>
      <c r="AB219" s="51"/>
      <c r="AC219" s="68">
        <f t="shared" ref="AC219:AC222" si="866">SUM(X219:AB219)</f>
        <v>0</v>
      </c>
      <c r="AD219" s="51"/>
      <c r="AE219" s="51"/>
      <c r="AF219" s="51"/>
      <c r="AG219" s="51"/>
      <c r="AH219" s="51"/>
      <c r="AI219" s="68">
        <f t="shared" ref="AI219:AI222" si="867">SUM(AD219:AH219)</f>
        <v>0</v>
      </c>
      <c r="AJ219" s="51"/>
      <c r="AK219" s="51"/>
      <c r="AL219" s="51"/>
      <c r="AM219" s="51"/>
      <c r="AN219" s="51"/>
      <c r="AO219" s="68">
        <f t="shared" ref="AO219" si="868">SUM(AJ219:AN219)</f>
        <v>0</v>
      </c>
      <c r="AP219" s="51"/>
      <c r="AQ219" s="51"/>
      <c r="AR219" s="51"/>
      <c r="AS219" s="51"/>
      <c r="AT219" s="51"/>
      <c r="AU219" s="68">
        <f t="shared" ref="AU219" si="869">SUM(AP219:AT219)</f>
        <v>0</v>
      </c>
      <c r="AV219" s="51"/>
      <c r="AW219" s="51"/>
      <c r="AX219" s="51"/>
      <c r="AY219" s="51"/>
      <c r="AZ219" s="51"/>
      <c r="BA219" s="68">
        <f t="shared" ref="BA219" si="870">SUM(AV219:AZ219)</f>
        <v>0</v>
      </c>
      <c r="BB219" s="51"/>
      <c r="BC219" s="51"/>
      <c r="BD219" s="51"/>
      <c r="BE219" s="51"/>
      <c r="BF219" s="51"/>
      <c r="BG219" s="68">
        <f t="shared" ref="BG219" si="871">SUM(BB219:BF219)</f>
        <v>0</v>
      </c>
      <c r="BH219" s="51"/>
      <c r="BI219" s="51"/>
      <c r="BJ219" s="51"/>
      <c r="BK219" s="51"/>
      <c r="BL219" s="51"/>
      <c r="BM219" s="68">
        <f t="shared" ref="BM219" si="872">SUM(BH219:BL219)</f>
        <v>0</v>
      </c>
      <c r="BN219" s="51"/>
      <c r="BO219" s="51"/>
      <c r="BP219" s="51"/>
      <c r="BQ219" s="51"/>
      <c r="BR219" s="51"/>
      <c r="BS219" s="68">
        <f t="shared" ref="BS219" si="873">SUM(BN219:BR219)</f>
        <v>0</v>
      </c>
      <c r="BT219" s="51"/>
      <c r="BU219" s="51"/>
      <c r="BV219" s="51"/>
      <c r="BW219" s="51"/>
      <c r="BX219" s="51"/>
      <c r="BY219" s="68">
        <f t="shared" ref="BY219" si="874">SUM(BT219:BX219)</f>
        <v>0</v>
      </c>
      <c r="BZ219" s="51"/>
      <c r="CA219" s="51"/>
      <c r="CB219" s="51"/>
      <c r="CC219" s="51"/>
      <c r="CD219" s="51"/>
      <c r="CE219" s="68">
        <f t="shared" ref="CE219" si="875">SUM(BZ219:CD219)</f>
        <v>0</v>
      </c>
      <c r="CF219" s="51"/>
      <c r="CG219" s="51"/>
      <c r="CH219" s="51"/>
      <c r="CI219" s="51"/>
      <c r="CJ219" s="51"/>
      <c r="CK219" s="68">
        <f t="shared" ref="CK219" si="876">SUM(CF219:CJ219)</f>
        <v>0</v>
      </c>
      <c r="CL219" s="67">
        <f t="shared" ref="CL219:CQ225" si="877">+R219+X219+AD219+AJ219+AP219+AV219+BB219+BH219+BN219+BT219+BZ219+CF219</f>
        <v>0</v>
      </c>
      <c r="CM219" s="67">
        <f t="shared" si="877"/>
        <v>0</v>
      </c>
      <c r="CN219" s="67">
        <f t="shared" si="877"/>
        <v>0</v>
      </c>
      <c r="CO219" s="67">
        <f t="shared" si="877"/>
        <v>0</v>
      </c>
      <c r="CP219" s="67">
        <f t="shared" si="877"/>
        <v>0</v>
      </c>
      <c r="CQ219" s="67">
        <f t="shared" si="877"/>
        <v>0</v>
      </c>
      <c r="CR219" s="37">
        <f t="shared" ref="CR219:CR225" si="878">+W219</f>
        <v>0</v>
      </c>
      <c r="CS219" s="39">
        <f t="shared" ref="CS219:CS225" si="879">+AC219</f>
        <v>0</v>
      </c>
      <c r="CT219" s="53">
        <f t="shared" ref="CT219:CT225" si="880">+AI219</f>
        <v>0</v>
      </c>
      <c r="CU219" s="39">
        <f t="shared" ref="CU219:CU225" si="881">+AO219</f>
        <v>0</v>
      </c>
      <c r="CV219" s="39">
        <f t="shared" ref="CV219:CV225" si="882">+AU219</f>
        <v>0</v>
      </c>
      <c r="CW219" s="39">
        <f t="shared" ref="CW219:CW225" si="883">+BA219</f>
        <v>0</v>
      </c>
      <c r="CX219" s="39">
        <f t="shared" ref="CX219:CX225" si="884">+BG219</f>
        <v>0</v>
      </c>
      <c r="CY219" s="39">
        <f t="shared" ref="CY219:CY225" si="885">+BM219</f>
        <v>0</v>
      </c>
      <c r="CZ219" s="39">
        <f t="shared" ref="CZ219:CZ225" si="886">+BS219</f>
        <v>0</v>
      </c>
      <c r="DA219" s="39">
        <f t="shared" ref="DA219:DA225" si="887">+BY219</f>
        <v>0</v>
      </c>
      <c r="DB219" s="39">
        <f t="shared" ref="DB219:DB225" si="888">+CE219</f>
        <v>0</v>
      </c>
      <c r="DC219" s="39">
        <f t="shared" ref="DC219:DC225" si="889">+CK219</f>
        <v>0</v>
      </c>
      <c r="DD219" s="39">
        <f>+HLOOKUP('Reporte Evolución Mensual'!$F$2-2,$CR$2:$DC$251, Input!$DG219, FALSE)</f>
        <v>0</v>
      </c>
      <c r="DE219" s="39">
        <f>+HLOOKUP('Reporte Evolución Mensual'!$F$2-1,$CR$2:$DC$251, Input!$DG219, FALSE)</f>
        <v>0</v>
      </c>
      <c r="DF219" s="39">
        <f>+HLOOKUP('Reporte Evolución Mensual'!$F$2,$CR$2:$DC$251, Input!$DG219, FALSE)</f>
        <v>0</v>
      </c>
      <c r="DG219" s="40">
        <f t="shared" si="795"/>
        <v>219</v>
      </c>
      <c r="DH219" s="39"/>
      <c r="DI219" s="39"/>
      <c r="DJ219" s="39"/>
      <c r="DK219" s="39"/>
      <c r="DL219" s="39"/>
      <c r="DM219" s="39"/>
      <c r="DN219" s="39"/>
      <c r="DO219" s="58"/>
      <c r="DP219" s="58"/>
      <c r="DQ219" s="58"/>
      <c r="DR219" s="58"/>
      <c r="DS219" s="41"/>
      <c r="DT219" s="41"/>
      <c r="DU219" s="41"/>
      <c r="DV219" s="345" t="s">
        <v>163</v>
      </c>
    </row>
    <row r="220" spans="1:126" ht="15" customHeight="1" x14ac:dyDescent="0.3">
      <c r="A220" s="1" t="str">
        <f t="shared" si="713"/>
        <v>ADIFSE</v>
      </c>
      <c r="B220" s="1" t="str">
        <f t="shared" si="714"/>
        <v>ADIFSE</v>
      </c>
      <c r="C220" s="1" t="str">
        <f t="shared" si="715"/>
        <v>MAY</v>
      </c>
      <c r="D220" s="41" t="s">
        <v>163</v>
      </c>
      <c r="E220" s="123" t="str">
        <f t="shared" ref="E220:E222" si="890">CONCATENATE(H220," - ",I220)</f>
        <v>Incremento de Activos Financieros - CMEC Obras BCyL</v>
      </c>
      <c r="F220" s="127" t="s">
        <v>290</v>
      </c>
      <c r="G220" s="16" t="s">
        <v>259</v>
      </c>
      <c r="H220" s="7" t="s">
        <v>260</v>
      </c>
      <c r="I220" s="16" t="s">
        <v>263</v>
      </c>
      <c r="J220" s="32" t="s">
        <v>289</v>
      </c>
      <c r="K220" s="38"/>
      <c r="L220" s="51"/>
      <c r="M220" s="51"/>
      <c r="N220" s="51"/>
      <c r="O220" s="51"/>
      <c r="P220" s="51"/>
      <c r="Q220" s="67">
        <f t="shared" si="864"/>
        <v>0</v>
      </c>
      <c r="R220" s="51"/>
      <c r="S220" s="51"/>
      <c r="T220" s="51"/>
      <c r="U220" s="51"/>
      <c r="V220" s="51"/>
      <c r="W220" s="68">
        <f t="shared" si="865"/>
        <v>0</v>
      </c>
      <c r="X220" s="51"/>
      <c r="Y220" s="51"/>
      <c r="Z220" s="51"/>
      <c r="AA220" s="51"/>
      <c r="AB220" s="51"/>
      <c r="AC220" s="68">
        <f t="shared" si="866"/>
        <v>0</v>
      </c>
      <c r="AD220" s="51"/>
      <c r="AE220" s="51"/>
      <c r="AF220" s="51"/>
      <c r="AG220" s="51"/>
      <c r="AH220" s="51"/>
      <c r="AI220" s="68">
        <f t="shared" si="867"/>
        <v>0</v>
      </c>
      <c r="AJ220" s="51"/>
      <c r="AK220" s="51"/>
      <c r="AL220" s="51"/>
      <c r="AM220" s="51"/>
      <c r="AN220" s="51"/>
      <c r="AO220" s="68"/>
      <c r="AP220" s="51"/>
      <c r="AQ220" s="51"/>
      <c r="AR220" s="51"/>
      <c r="AS220" s="51"/>
      <c r="AT220" s="51"/>
      <c r="AU220" s="68"/>
      <c r="AV220" s="51"/>
      <c r="AW220" s="51"/>
      <c r="AX220" s="51"/>
      <c r="AY220" s="51"/>
      <c r="AZ220" s="51"/>
      <c r="BA220" s="68"/>
      <c r="BB220" s="51"/>
      <c r="BC220" s="51"/>
      <c r="BD220" s="51"/>
      <c r="BE220" s="51"/>
      <c r="BF220" s="51"/>
      <c r="BG220" s="68"/>
      <c r="BH220" s="51"/>
      <c r="BI220" s="51"/>
      <c r="BJ220" s="51"/>
      <c r="BK220" s="51"/>
      <c r="BL220" s="51"/>
      <c r="BM220" s="68"/>
      <c r="BN220" s="51"/>
      <c r="BO220" s="51"/>
      <c r="BP220" s="51"/>
      <c r="BQ220" s="51"/>
      <c r="BR220" s="51"/>
      <c r="BS220" s="68"/>
      <c r="BT220" s="51"/>
      <c r="BU220" s="51"/>
      <c r="BV220" s="51"/>
      <c r="BW220" s="51"/>
      <c r="BX220" s="51"/>
      <c r="BY220" s="68"/>
      <c r="BZ220" s="51"/>
      <c r="CA220" s="51"/>
      <c r="CB220" s="51"/>
      <c r="CC220" s="51"/>
      <c r="CD220" s="51"/>
      <c r="CE220" s="68"/>
      <c r="CF220" s="51"/>
      <c r="CG220" s="51"/>
      <c r="CH220" s="51"/>
      <c r="CI220" s="51"/>
      <c r="CJ220" s="51"/>
      <c r="CK220" s="68"/>
      <c r="CL220" s="67">
        <f t="shared" si="877"/>
        <v>0</v>
      </c>
      <c r="CM220" s="67">
        <f t="shared" si="877"/>
        <v>0</v>
      </c>
      <c r="CN220" s="67">
        <f t="shared" si="877"/>
        <v>0</v>
      </c>
      <c r="CO220" s="67">
        <f t="shared" si="877"/>
        <v>0</v>
      </c>
      <c r="CP220" s="67">
        <f t="shared" si="877"/>
        <v>0</v>
      </c>
      <c r="CQ220" s="67">
        <f t="shared" si="877"/>
        <v>0</v>
      </c>
      <c r="CR220" s="37">
        <f t="shared" si="878"/>
        <v>0</v>
      </c>
      <c r="CS220" s="39">
        <f t="shared" si="879"/>
        <v>0</v>
      </c>
      <c r="CT220" s="53">
        <f t="shared" si="880"/>
        <v>0</v>
      </c>
      <c r="CU220" s="39">
        <f t="shared" si="881"/>
        <v>0</v>
      </c>
      <c r="CV220" s="39">
        <f t="shared" si="882"/>
        <v>0</v>
      </c>
      <c r="CW220" s="39">
        <f t="shared" si="883"/>
        <v>0</v>
      </c>
      <c r="CX220" s="39">
        <f t="shared" si="884"/>
        <v>0</v>
      </c>
      <c r="CY220" s="39">
        <f t="shared" si="885"/>
        <v>0</v>
      </c>
      <c r="CZ220" s="39">
        <f t="shared" si="886"/>
        <v>0</v>
      </c>
      <c r="DA220" s="39">
        <f t="shared" si="887"/>
        <v>0</v>
      </c>
      <c r="DB220" s="39">
        <f t="shared" si="888"/>
        <v>0</v>
      </c>
      <c r="DC220" s="39">
        <f t="shared" si="889"/>
        <v>0</v>
      </c>
      <c r="DD220" s="39">
        <f>+HLOOKUP('Reporte Evolución Mensual'!$F$2-2,$CR$2:$DC$251, Input!$DG220, FALSE)</f>
        <v>0</v>
      </c>
      <c r="DE220" s="39">
        <f>+HLOOKUP('Reporte Evolución Mensual'!$F$2-1,$CR$2:$DC$251, Input!$DG220, FALSE)</f>
        <v>0</v>
      </c>
      <c r="DF220" s="39">
        <f>+HLOOKUP('Reporte Evolución Mensual'!$F$2,$CR$2:$DC$251, Input!$DG220, FALSE)</f>
        <v>0</v>
      </c>
      <c r="DG220" s="40">
        <f t="shared" si="795"/>
        <v>220</v>
      </c>
      <c r="DH220" s="39"/>
      <c r="DI220" s="39"/>
      <c r="DJ220" s="39"/>
      <c r="DK220" s="39"/>
      <c r="DL220" s="39"/>
      <c r="DM220" s="39"/>
      <c r="DN220" s="39"/>
      <c r="DO220" s="58"/>
      <c r="DP220" s="58"/>
      <c r="DQ220" s="58"/>
      <c r="DR220" s="58"/>
      <c r="DS220" s="41"/>
      <c r="DT220" s="41"/>
      <c r="DU220" s="41"/>
      <c r="DV220" s="345" t="s">
        <v>163</v>
      </c>
    </row>
    <row r="221" spans="1:126" ht="15" customHeight="1" x14ac:dyDescent="0.3">
      <c r="A221" s="1" t="str">
        <f t="shared" si="713"/>
        <v>ADIFSE</v>
      </c>
      <c r="B221" s="1" t="str">
        <f t="shared" si="714"/>
        <v>ADIFSE</v>
      </c>
      <c r="C221" s="1" t="str">
        <f t="shared" si="715"/>
        <v>MAY</v>
      </c>
      <c r="D221" s="41" t="s">
        <v>163</v>
      </c>
      <c r="E221" s="123" t="str">
        <f t="shared" si="890"/>
        <v>Incremento de Activos Financieros - CMEC Obras ADIF</v>
      </c>
      <c r="F221" s="127" t="s">
        <v>291</v>
      </c>
      <c r="G221" s="16" t="s">
        <v>259</v>
      </c>
      <c r="H221" s="7" t="s">
        <v>260</v>
      </c>
      <c r="I221" s="16" t="s">
        <v>265</v>
      </c>
      <c r="J221" s="32" t="s">
        <v>289</v>
      </c>
      <c r="K221" s="38"/>
      <c r="L221" s="51"/>
      <c r="M221" s="51"/>
      <c r="N221" s="51"/>
      <c r="O221" s="51"/>
      <c r="P221" s="51"/>
      <c r="Q221" s="67">
        <f t="shared" si="864"/>
        <v>0</v>
      </c>
      <c r="R221" s="51"/>
      <c r="S221" s="51"/>
      <c r="T221" s="51"/>
      <c r="U221" s="51"/>
      <c r="V221" s="51"/>
      <c r="W221" s="68">
        <f t="shared" si="865"/>
        <v>0</v>
      </c>
      <c r="X221" s="51"/>
      <c r="Y221" s="51"/>
      <c r="Z221" s="51"/>
      <c r="AA221" s="51"/>
      <c r="AB221" s="51"/>
      <c r="AC221" s="68">
        <f t="shared" si="866"/>
        <v>0</v>
      </c>
      <c r="AD221" s="51"/>
      <c r="AE221" s="51"/>
      <c r="AF221" s="51"/>
      <c r="AG221" s="51"/>
      <c r="AH221" s="51"/>
      <c r="AI221" s="68">
        <f t="shared" si="867"/>
        <v>0</v>
      </c>
      <c r="AJ221" s="51"/>
      <c r="AK221" s="51"/>
      <c r="AL221" s="51"/>
      <c r="AM221" s="51"/>
      <c r="AN221" s="51"/>
      <c r="AO221" s="68"/>
      <c r="AP221" s="51"/>
      <c r="AQ221" s="51"/>
      <c r="AR221" s="51"/>
      <c r="AS221" s="51"/>
      <c r="AT221" s="51"/>
      <c r="AU221" s="68"/>
      <c r="AV221" s="51"/>
      <c r="AW221" s="51"/>
      <c r="AX221" s="51"/>
      <c r="AY221" s="51"/>
      <c r="AZ221" s="51"/>
      <c r="BA221" s="68"/>
      <c r="BB221" s="51"/>
      <c r="BC221" s="51"/>
      <c r="BD221" s="51"/>
      <c r="BE221" s="51"/>
      <c r="BF221" s="51"/>
      <c r="BG221" s="68"/>
      <c r="BH221" s="51"/>
      <c r="BI221" s="51"/>
      <c r="BJ221" s="51"/>
      <c r="BK221" s="51"/>
      <c r="BL221" s="51"/>
      <c r="BM221" s="68"/>
      <c r="BN221" s="51"/>
      <c r="BO221" s="51"/>
      <c r="BP221" s="51"/>
      <c r="BQ221" s="51"/>
      <c r="BR221" s="51"/>
      <c r="BS221" s="68"/>
      <c r="BT221" s="51"/>
      <c r="BU221" s="51"/>
      <c r="BV221" s="51"/>
      <c r="BW221" s="51"/>
      <c r="BX221" s="51"/>
      <c r="BY221" s="68"/>
      <c r="BZ221" s="51"/>
      <c r="CA221" s="51"/>
      <c r="CB221" s="51"/>
      <c r="CC221" s="51"/>
      <c r="CD221" s="51"/>
      <c r="CE221" s="68"/>
      <c r="CF221" s="51"/>
      <c r="CG221" s="51"/>
      <c r="CH221" s="51"/>
      <c r="CI221" s="51"/>
      <c r="CJ221" s="51"/>
      <c r="CK221" s="68"/>
      <c r="CL221" s="67">
        <f t="shared" si="877"/>
        <v>0</v>
      </c>
      <c r="CM221" s="67">
        <f t="shared" si="877"/>
        <v>0</v>
      </c>
      <c r="CN221" s="67">
        <f t="shared" si="877"/>
        <v>0</v>
      </c>
      <c r="CO221" s="67">
        <f t="shared" si="877"/>
        <v>0</v>
      </c>
      <c r="CP221" s="67">
        <f t="shared" si="877"/>
        <v>0</v>
      </c>
      <c r="CQ221" s="67">
        <f t="shared" si="877"/>
        <v>0</v>
      </c>
      <c r="CR221" s="37">
        <f t="shared" si="878"/>
        <v>0</v>
      </c>
      <c r="CS221" s="39">
        <f t="shared" si="879"/>
        <v>0</v>
      </c>
      <c r="CT221" s="53">
        <f t="shared" si="880"/>
        <v>0</v>
      </c>
      <c r="CU221" s="39">
        <f t="shared" si="881"/>
        <v>0</v>
      </c>
      <c r="CV221" s="39">
        <f t="shared" si="882"/>
        <v>0</v>
      </c>
      <c r="CW221" s="39">
        <f t="shared" si="883"/>
        <v>0</v>
      </c>
      <c r="CX221" s="39">
        <f t="shared" si="884"/>
        <v>0</v>
      </c>
      <c r="CY221" s="39">
        <f t="shared" si="885"/>
        <v>0</v>
      </c>
      <c r="CZ221" s="39">
        <f t="shared" si="886"/>
        <v>0</v>
      </c>
      <c r="DA221" s="39">
        <f t="shared" si="887"/>
        <v>0</v>
      </c>
      <c r="DB221" s="39">
        <f t="shared" si="888"/>
        <v>0</v>
      </c>
      <c r="DC221" s="39">
        <f t="shared" si="889"/>
        <v>0</v>
      </c>
      <c r="DD221" s="39">
        <f>+HLOOKUP('Reporte Evolución Mensual'!$F$2-2,$CR$2:$DC$251, Input!$DG221, FALSE)</f>
        <v>0</v>
      </c>
      <c r="DE221" s="39">
        <f>+HLOOKUP('Reporte Evolución Mensual'!$F$2-1,$CR$2:$DC$251, Input!$DG221, FALSE)</f>
        <v>0</v>
      </c>
      <c r="DF221" s="39">
        <f>+HLOOKUP('Reporte Evolución Mensual'!$F$2,$CR$2:$DC$251, Input!$DG221, FALSE)</f>
        <v>0</v>
      </c>
      <c r="DG221" s="40">
        <f t="shared" si="795"/>
        <v>221</v>
      </c>
      <c r="DH221" s="39"/>
      <c r="DI221" s="39"/>
      <c r="DJ221" s="39"/>
      <c r="DK221" s="39"/>
      <c r="DL221" s="39"/>
      <c r="DM221" s="39"/>
      <c r="DN221" s="39"/>
      <c r="DO221" s="58"/>
      <c r="DP221" s="58"/>
      <c r="DQ221" s="58"/>
      <c r="DR221" s="58"/>
      <c r="DS221" s="41"/>
      <c r="DT221" s="41"/>
      <c r="DU221" s="41"/>
      <c r="DV221" s="345" t="s">
        <v>163</v>
      </c>
    </row>
    <row r="222" spans="1:126" ht="15" customHeight="1" x14ac:dyDescent="0.3">
      <c r="A222" s="1" t="str">
        <f t="shared" si="713"/>
        <v>ADIFSE</v>
      </c>
      <c r="B222" s="1" t="str">
        <f t="shared" si="714"/>
        <v>ADIFSE</v>
      </c>
      <c r="C222" s="1" t="str">
        <f t="shared" si="715"/>
        <v>MAY</v>
      </c>
      <c r="D222" s="41" t="s">
        <v>163</v>
      </c>
      <c r="E222" s="123" t="str">
        <f t="shared" si="890"/>
        <v>Incremento de Activos Financieros - Diferidos y Adelantos a Proveedores y Contratistas resto</v>
      </c>
      <c r="F222" s="127" t="s">
        <v>266</v>
      </c>
      <c r="G222" s="16" t="s">
        <v>259</v>
      </c>
      <c r="H222" s="7" t="s">
        <v>260</v>
      </c>
      <c r="I222" s="16" t="s">
        <v>267</v>
      </c>
      <c r="J222" s="32" t="s">
        <v>289</v>
      </c>
      <c r="K222" s="38"/>
      <c r="L222" s="51"/>
      <c r="M222" s="51"/>
      <c r="N222" s="51"/>
      <c r="O222" s="51"/>
      <c r="P222" s="51"/>
      <c r="Q222" s="67">
        <f t="shared" si="864"/>
        <v>0</v>
      </c>
      <c r="R222" s="51"/>
      <c r="S222" s="51"/>
      <c r="T222" s="51"/>
      <c r="U222" s="51"/>
      <c r="V222" s="51"/>
      <c r="W222" s="68">
        <f t="shared" si="865"/>
        <v>0</v>
      </c>
      <c r="X222" s="51"/>
      <c r="Y222" s="51"/>
      <c r="Z222" s="51"/>
      <c r="AA222" s="51"/>
      <c r="AB222" s="51"/>
      <c r="AC222" s="68">
        <f t="shared" si="866"/>
        <v>0</v>
      </c>
      <c r="AD222" s="51"/>
      <c r="AE222" s="51"/>
      <c r="AF222" s="51"/>
      <c r="AG222" s="51"/>
      <c r="AH222" s="51"/>
      <c r="AI222" s="68">
        <f t="shared" si="867"/>
        <v>0</v>
      </c>
      <c r="AJ222" s="51"/>
      <c r="AK222" s="51"/>
      <c r="AL222" s="51"/>
      <c r="AM222" s="51"/>
      <c r="AN222" s="51"/>
      <c r="AO222" s="68"/>
      <c r="AP222" s="51"/>
      <c r="AQ222" s="51"/>
      <c r="AR222" s="51"/>
      <c r="AS222" s="51"/>
      <c r="AT222" s="51"/>
      <c r="AU222" s="68"/>
      <c r="AV222" s="51"/>
      <c r="AW222" s="51"/>
      <c r="AX222" s="51"/>
      <c r="AY222" s="51"/>
      <c r="AZ222" s="51"/>
      <c r="BA222" s="68"/>
      <c r="BB222" s="51"/>
      <c r="BC222" s="51"/>
      <c r="BD222" s="51"/>
      <c r="BE222" s="51"/>
      <c r="BF222" s="51"/>
      <c r="BG222" s="68"/>
      <c r="BH222" s="51"/>
      <c r="BI222" s="51"/>
      <c r="BJ222" s="51"/>
      <c r="BK222" s="51"/>
      <c r="BL222" s="51"/>
      <c r="BM222" s="68"/>
      <c r="BN222" s="51"/>
      <c r="BO222" s="51"/>
      <c r="BP222" s="51"/>
      <c r="BQ222" s="51"/>
      <c r="BR222" s="51"/>
      <c r="BS222" s="68"/>
      <c r="BT222" s="51"/>
      <c r="BU222" s="51"/>
      <c r="BV222" s="51"/>
      <c r="BW222" s="51"/>
      <c r="BX222" s="51"/>
      <c r="BY222" s="68"/>
      <c r="BZ222" s="51"/>
      <c r="CA222" s="51"/>
      <c r="CB222" s="51"/>
      <c r="CC222" s="51"/>
      <c r="CD222" s="51"/>
      <c r="CE222" s="68"/>
      <c r="CF222" s="51"/>
      <c r="CG222" s="51"/>
      <c r="CH222" s="51"/>
      <c r="CI222" s="51"/>
      <c r="CJ222" s="51"/>
      <c r="CK222" s="68"/>
      <c r="CL222" s="67">
        <f t="shared" si="877"/>
        <v>0</v>
      </c>
      <c r="CM222" s="67">
        <f t="shared" si="877"/>
        <v>0</v>
      </c>
      <c r="CN222" s="67">
        <f t="shared" si="877"/>
        <v>0</v>
      </c>
      <c r="CO222" s="67">
        <f t="shared" si="877"/>
        <v>0</v>
      </c>
      <c r="CP222" s="67">
        <f t="shared" si="877"/>
        <v>0</v>
      </c>
      <c r="CQ222" s="67">
        <f t="shared" si="877"/>
        <v>0</v>
      </c>
      <c r="CR222" s="37">
        <f t="shared" si="878"/>
        <v>0</v>
      </c>
      <c r="CS222" s="39">
        <f t="shared" si="879"/>
        <v>0</v>
      </c>
      <c r="CT222" s="53">
        <f t="shared" si="880"/>
        <v>0</v>
      </c>
      <c r="CU222" s="39">
        <f t="shared" si="881"/>
        <v>0</v>
      </c>
      <c r="CV222" s="39">
        <f t="shared" si="882"/>
        <v>0</v>
      </c>
      <c r="CW222" s="39">
        <f t="shared" si="883"/>
        <v>0</v>
      </c>
      <c r="CX222" s="39">
        <f t="shared" si="884"/>
        <v>0</v>
      </c>
      <c r="CY222" s="39">
        <f t="shared" si="885"/>
        <v>0</v>
      </c>
      <c r="CZ222" s="39">
        <f t="shared" si="886"/>
        <v>0</v>
      </c>
      <c r="DA222" s="39">
        <f t="shared" si="887"/>
        <v>0</v>
      </c>
      <c r="DB222" s="39">
        <f t="shared" si="888"/>
        <v>0</v>
      </c>
      <c r="DC222" s="39">
        <f t="shared" si="889"/>
        <v>0</v>
      </c>
      <c r="DD222" s="39">
        <f>+HLOOKUP('Reporte Evolución Mensual'!$F$2-2,$CR$2:$DC$251, Input!$DG222, FALSE)</f>
        <v>0</v>
      </c>
      <c r="DE222" s="39">
        <f>+HLOOKUP('Reporte Evolución Mensual'!$F$2-1,$CR$2:$DC$251, Input!$DG222, FALSE)</f>
        <v>0</v>
      </c>
      <c r="DF222" s="39">
        <f>+HLOOKUP('Reporte Evolución Mensual'!$F$2,$CR$2:$DC$251, Input!$DG222, FALSE)</f>
        <v>0</v>
      </c>
      <c r="DG222" s="40">
        <f t="shared" si="795"/>
        <v>222</v>
      </c>
      <c r="DH222" s="39"/>
      <c r="DI222" s="39"/>
      <c r="DJ222" s="39"/>
      <c r="DK222" s="39"/>
      <c r="DL222" s="39"/>
      <c r="DM222" s="39"/>
      <c r="DN222" s="39"/>
      <c r="DO222" s="58"/>
      <c r="DP222" s="58"/>
      <c r="DQ222" s="58"/>
      <c r="DR222" s="58"/>
      <c r="DS222" s="41"/>
      <c r="DT222" s="41"/>
      <c r="DU222" s="41"/>
      <c r="DV222" s="345" t="s">
        <v>163</v>
      </c>
    </row>
    <row r="223" spans="1:126" ht="15" customHeight="1" x14ac:dyDescent="0.3">
      <c r="A223" s="1" t="str">
        <f t="shared" si="713"/>
        <v>ADIFSE</v>
      </c>
      <c r="B223" s="1" t="str">
        <f t="shared" si="714"/>
        <v>ADIFSE</v>
      </c>
      <c r="C223" s="1" t="str">
        <f t="shared" si="715"/>
        <v>MAY</v>
      </c>
      <c r="D223" s="75" t="s">
        <v>108</v>
      </c>
      <c r="E223" s="123" t="str">
        <f>CONCATENATE(H223," - ",I223)</f>
        <v>Incremento de Activos Financieros - Diferidos y Adelantos a Proveedores y Contratistas</v>
      </c>
      <c r="F223" s="126">
        <v>68</v>
      </c>
      <c r="G223" s="16" t="s">
        <v>259</v>
      </c>
      <c r="H223" s="7" t="s">
        <v>260</v>
      </c>
      <c r="I223" s="16" t="s">
        <v>268</v>
      </c>
      <c r="J223" s="7" t="s">
        <v>289</v>
      </c>
      <c r="K223" s="38"/>
      <c r="L223" s="38">
        <f t="shared" ref="L223:Q223" si="891">SUM(L220:L222)</f>
        <v>0</v>
      </c>
      <c r="M223" s="38">
        <f t="shared" si="891"/>
        <v>0</v>
      </c>
      <c r="N223" s="38">
        <f t="shared" si="891"/>
        <v>0</v>
      </c>
      <c r="O223" s="38">
        <f t="shared" si="891"/>
        <v>0</v>
      </c>
      <c r="P223" s="38">
        <f t="shared" si="891"/>
        <v>0</v>
      </c>
      <c r="Q223" s="67">
        <f t="shared" si="891"/>
        <v>0</v>
      </c>
      <c r="R223" s="38">
        <f>SUM(R220:R222)</f>
        <v>0</v>
      </c>
      <c r="S223" s="38">
        <f t="shared" ref="S223:CD223" si="892">SUM(S220:S222)</f>
        <v>0</v>
      </c>
      <c r="T223" s="38">
        <f t="shared" si="892"/>
        <v>0</v>
      </c>
      <c r="U223" s="38">
        <f t="shared" si="892"/>
        <v>0</v>
      </c>
      <c r="V223" s="38">
        <f t="shared" si="892"/>
        <v>0</v>
      </c>
      <c r="W223" s="71">
        <f t="shared" si="892"/>
        <v>0</v>
      </c>
      <c r="X223" s="38">
        <f t="shared" si="892"/>
        <v>0</v>
      </c>
      <c r="Y223" s="38">
        <f t="shared" si="892"/>
        <v>0</v>
      </c>
      <c r="Z223" s="38">
        <f t="shared" si="892"/>
        <v>0</v>
      </c>
      <c r="AA223" s="38">
        <f t="shared" si="892"/>
        <v>0</v>
      </c>
      <c r="AB223" s="38">
        <f t="shared" si="892"/>
        <v>0</v>
      </c>
      <c r="AC223" s="71">
        <f t="shared" si="892"/>
        <v>0</v>
      </c>
      <c r="AD223" s="38">
        <f t="shared" si="892"/>
        <v>0</v>
      </c>
      <c r="AE223" s="38">
        <f t="shared" si="892"/>
        <v>0</v>
      </c>
      <c r="AF223" s="38">
        <f t="shared" si="892"/>
        <v>0</v>
      </c>
      <c r="AG223" s="38">
        <f t="shared" si="892"/>
        <v>0</v>
      </c>
      <c r="AH223" s="38">
        <f t="shared" si="892"/>
        <v>0</v>
      </c>
      <c r="AI223" s="71">
        <f t="shared" si="892"/>
        <v>0</v>
      </c>
      <c r="AJ223" s="38">
        <f t="shared" si="892"/>
        <v>0</v>
      </c>
      <c r="AK223" s="38">
        <f t="shared" si="892"/>
        <v>0</v>
      </c>
      <c r="AL223" s="38">
        <f t="shared" si="892"/>
        <v>0</v>
      </c>
      <c r="AM223" s="38">
        <f t="shared" si="892"/>
        <v>0</v>
      </c>
      <c r="AN223" s="38">
        <f t="shared" si="892"/>
        <v>0</v>
      </c>
      <c r="AO223" s="71">
        <f t="shared" si="892"/>
        <v>0</v>
      </c>
      <c r="AP223" s="38">
        <f t="shared" si="892"/>
        <v>0</v>
      </c>
      <c r="AQ223" s="38">
        <f t="shared" si="892"/>
        <v>0</v>
      </c>
      <c r="AR223" s="38">
        <f t="shared" si="892"/>
        <v>0</v>
      </c>
      <c r="AS223" s="38">
        <f t="shared" si="892"/>
        <v>0</v>
      </c>
      <c r="AT223" s="38">
        <f t="shared" si="892"/>
        <v>0</v>
      </c>
      <c r="AU223" s="71">
        <f t="shared" si="892"/>
        <v>0</v>
      </c>
      <c r="AV223" s="38">
        <f t="shared" si="892"/>
        <v>0</v>
      </c>
      <c r="AW223" s="38">
        <f t="shared" si="892"/>
        <v>0</v>
      </c>
      <c r="AX223" s="38">
        <f t="shared" si="892"/>
        <v>0</v>
      </c>
      <c r="AY223" s="38">
        <f t="shared" si="892"/>
        <v>0</v>
      </c>
      <c r="AZ223" s="38">
        <f t="shared" si="892"/>
        <v>0</v>
      </c>
      <c r="BA223" s="71">
        <f t="shared" si="892"/>
        <v>0</v>
      </c>
      <c r="BB223" s="38">
        <f t="shared" si="892"/>
        <v>0</v>
      </c>
      <c r="BC223" s="38">
        <f t="shared" si="892"/>
        <v>0</v>
      </c>
      <c r="BD223" s="38">
        <f t="shared" si="892"/>
        <v>0</v>
      </c>
      <c r="BE223" s="38">
        <f t="shared" si="892"/>
        <v>0</v>
      </c>
      <c r="BF223" s="38">
        <f t="shared" si="892"/>
        <v>0</v>
      </c>
      <c r="BG223" s="71">
        <f t="shared" si="892"/>
        <v>0</v>
      </c>
      <c r="BH223" s="38">
        <f t="shared" si="892"/>
        <v>0</v>
      </c>
      <c r="BI223" s="38">
        <f t="shared" si="892"/>
        <v>0</v>
      </c>
      <c r="BJ223" s="38">
        <f t="shared" si="892"/>
        <v>0</v>
      </c>
      <c r="BK223" s="38">
        <f t="shared" si="892"/>
        <v>0</v>
      </c>
      <c r="BL223" s="38">
        <f t="shared" si="892"/>
        <v>0</v>
      </c>
      <c r="BM223" s="71">
        <f t="shared" si="892"/>
        <v>0</v>
      </c>
      <c r="BN223" s="38">
        <f t="shared" si="892"/>
        <v>0</v>
      </c>
      <c r="BO223" s="38">
        <f t="shared" si="892"/>
        <v>0</v>
      </c>
      <c r="BP223" s="38">
        <f t="shared" si="892"/>
        <v>0</v>
      </c>
      <c r="BQ223" s="38">
        <f t="shared" si="892"/>
        <v>0</v>
      </c>
      <c r="BR223" s="38">
        <f t="shared" si="892"/>
        <v>0</v>
      </c>
      <c r="BS223" s="71">
        <f t="shared" si="892"/>
        <v>0</v>
      </c>
      <c r="BT223" s="38">
        <f t="shared" si="892"/>
        <v>0</v>
      </c>
      <c r="BU223" s="38">
        <f t="shared" si="892"/>
        <v>0</v>
      </c>
      <c r="BV223" s="38">
        <f t="shared" si="892"/>
        <v>0</v>
      </c>
      <c r="BW223" s="38">
        <f t="shared" si="892"/>
        <v>0</v>
      </c>
      <c r="BX223" s="38">
        <f t="shared" si="892"/>
        <v>0</v>
      </c>
      <c r="BY223" s="71">
        <f t="shared" si="892"/>
        <v>0</v>
      </c>
      <c r="BZ223" s="38">
        <f t="shared" si="892"/>
        <v>0</v>
      </c>
      <c r="CA223" s="38">
        <f t="shared" si="892"/>
        <v>0</v>
      </c>
      <c r="CB223" s="38">
        <f t="shared" si="892"/>
        <v>0</v>
      </c>
      <c r="CC223" s="38">
        <f t="shared" si="892"/>
        <v>0</v>
      </c>
      <c r="CD223" s="38">
        <f t="shared" si="892"/>
        <v>0</v>
      </c>
      <c r="CE223" s="71">
        <f t="shared" ref="CE223:CK223" si="893">SUM(CE220:CE222)</f>
        <v>0</v>
      </c>
      <c r="CF223" s="38">
        <f t="shared" si="893"/>
        <v>0</v>
      </c>
      <c r="CG223" s="38">
        <f t="shared" si="893"/>
        <v>0</v>
      </c>
      <c r="CH223" s="38">
        <f t="shared" si="893"/>
        <v>0</v>
      </c>
      <c r="CI223" s="38">
        <f t="shared" si="893"/>
        <v>0</v>
      </c>
      <c r="CJ223" s="38">
        <f t="shared" si="893"/>
        <v>0</v>
      </c>
      <c r="CK223" s="71">
        <f t="shared" si="893"/>
        <v>0</v>
      </c>
      <c r="CL223" s="67">
        <f t="shared" si="877"/>
        <v>0</v>
      </c>
      <c r="CM223" s="67">
        <f t="shared" si="877"/>
        <v>0</v>
      </c>
      <c r="CN223" s="67">
        <f t="shared" si="877"/>
        <v>0</v>
      </c>
      <c r="CO223" s="67">
        <f t="shared" si="877"/>
        <v>0</v>
      </c>
      <c r="CP223" s="67">
        <f t="shared" si="877"/>
        <v>0</v>
      </c>
      <c r="CQ223" s="67">
        <f t="shared" si="877"/>
        <v>0</v>
      </c>
      <c r="CR223" s="37">
        <f t="shared" si="878"/>
        <v>0</v>
      </c>
      <c r="CS223" s="39">
        <f t="shared" si="879"/>
        <v>0</v>
      </c>
      <c r="CT223" s="53">
        <f t="shared" si="880"/>
        <v>0</v>
      </c>
      <c r="CU223" s="39">
        <f t="shared" si="881"/>
        <v>0</v>
      </c>
      <c r="CV223" s="39">
        <f t="shared" si="882"/>
        <v>0</v>
      </c>
      <c r="CW223" s="39">
        <f t="shared" si="883"/>
        <v>0</v>
      </c>
      <c r="CX223" s="39">
        <f t="shared" si="884"/>
        <v>0</v>
      </c>
      <c r="CY223" s="39">
        <f t="shared" si="885"/>
        <v>0</v>
      </c>
      <c r="CZ223" s="39">
        <f t="shared" si="886"/>
        <v>0</v>
      </c>
      <c r="DA223" s="39">
        <f t="shared" si="887"/>
        <v>0</v>
      </c>
      <c r="DB223" s="39">
        <f t="shared" si="888"/>
        <v>0</v>
      </c>
      <c r="DC223" s="39">
        <f t="shared" si="889"/>
        <v>0</v>
      </c>
      <c r="DD223" s="39">
        <f>+HLOOKUP('Reporte Evolución Mensual'!$F$2-2,$CR$2:$DC$251, Input!$DG223, FALSE)</f>
        <v>0</v>
      </c>
      <c r="DE223" s="39">
        <f>+HLOOKUP('Reporte Evolución Mensual'!$F$2-1,$CR$2:$DC$251, Input!$DG223, FALSE)</f>
        <v>0</v>
      </c>
      <c r="DF223" s="39">
        <f>+HLOOKUP('Reporte Evolución Mensual'!$F$2,$CR$2:$DC$251, Input!$DG223, FALSE)</f>
        <v>0</v>
      </c>
      <c r="DG223" s="40">
        <f t="shared" si="795"/>
        <v>223</v>
      </c>
      <c r="DH223" s="37"/>
      <c r="DI223" s="37"/>
      <c r="DJ223" s="37"/>
      <c r="DK223" s="37"/>
      <c r="DL223" s="37"/>
      <c r="DM223" s="37"/>
      <c r="DN223" s="37"/>
      <c r="DO223" s="63"/>
      <c r="DP223" s="63"/>
      <c r="DQ223" s="63"/>
      <c r="DR223" s="63"/>
      <c r="DS223" s="75"/>
      <c r="DT223" s="75"/>
      <c r="DU223" s="75"/>
      <c r="DV223" s="345" t="s">
        <v>163</v>
      </c>
    </row>
    <row r="224" spans="1:126" ht="15" customHeight="1" x14ac:dyDescent="0.3">
      <c r="A224" s="1" t="str">
        <f t="shared" si="713"/>
        <v>ADIFSE</v>
      </c>
      <c r="B224" s="1" t="str">
        <f t="shared" si="714"/>
        <v>ADIFSE</v>
      </c>
      <c r="C224" s="1" t="str">
        <f t="shared" si="715"/>
        <v>MAY</v>
      </c>
      <c r="D224" s="41" t="s">
        <v>163</v>
      </c>
      <c r="E224" s="123" t="str">
        <f>CONCATENATE(H224," - ",I224)</f>
        <v>Disminución de Otros Pasivos - Amortización de deuda</v>
      </c>
      <c r="F224" s="127" t="s">
        <v>269</v>
      </c>
      <c r="G224" s="16" t="s">
        <v>259</v>
      </c>
      <c r="H224" s="16" t="s">
        <v>270</v>
      </c>
      <c r="I224" s="16" t="s">
        <v>271</v>
      </c>
      <c r="J224" s="32" t="s">
        <v>289</v>
      </c>
      <c r="K224" s="38"/>
      <c r="L224" s="51"/>
      <c r="M224" s="51"/>
      <c r="N224" s="51"/>
      <c r="O224" s="51"/>
      <c r="P224" s="51"/>
      <c r="Q224" s="67">
        <f t="shared" ref="Q224" si="894">SUM(L224:P224)</f>
        <v>0</v>
      </c>
      <c r="R224" s="51">
        <f>+R233</f>
        <v>44168000</v>
      </c>
      <c r="S224" s="51">
        <f>+S233</f>
        <v>7628000</v>
      </c>
      <c r="T224" s="51"/>
      <c r="U224" s="51"/>
      <c r="V224" s="51"/>
      <c r="W224" s="68">
        <f t="shared" ref="W224" si="895">SUM(R224:V224)</f>
        <v>51796000</v>
      </c>
      <c r="X224" s="51"/>
      <c r="Y224" s="51"/>
      <c r="Z224" s="51"/>
      <c r="AA224" s="51"/>
      <c r="AB224" s="51"/>
      <c r="AC224" s="68">
        <f t="shared" ref="AC224" si="896">SUM(X224:AB224)</f>
        <v>0</v>
      </c>
      <c r="AD224" s="51"/>
      <c r="AE224" s="51"/>
      <c r="AF224" s="51"/>
      <c r="AG224" s="51"/>
      <c r="AH224" s="51"/>
      <c r="AI224" s="68">
        <f t="shared" ref="AI224" si="897">SUM(AD224:AH224)</f>
        <v>0</v>
      </c>
      <c r="AJ224" s="51"/>
      <c r="AK224" s="51"/>
      <c r="AL224" s="51"/>
      <c r="AM224" s="51"/>
      <c r="AN224" s="51"/>
      <c r="AO224" s="68">
        <f t="shared" ref="AO224" si="898">SUM(AJ224:AN224)</f>
        <v>0</v>
      </c>
      <c r="AP224" s="51"/>
      <c r="AQ224" s="51"/>
      <c r="AR224" s="51"/>
      <c r="AS224" s="51"/>
      <c r="AT224" s="51"/>
      <c r="AU224" s="68">
        <f t="shared" ref="AU224" si="899">SUM(AP224:AT224)</f>
        <v>0</v>
      </c>
      <c r="AV224" s="51"/>
      <c r="AW224" s="51"/>
      <c r="AX224" s="51"/>
      <c r="AY224" s="51"/>
      <c r="AZ224" s="51"/>
      <c r="BA224" s="68">
        <f t="shared" ref="BA224" si="900">SUM(AV224:AZ224)</f>
        <v>0</v>
      </c>
      <c r="BB224" s="51"/>
      <c r="BC224" s="51"/>
      <c r="BD224" s="51"/>
      <c r="BE224" s="51"/>
      <c r="BF224" s="51"/>
      <c r="BG224" s="68">
        <f t="shared" ref="BG224" si="901">SUM(BB224:BF224)</f>
        <v>0</v>
      </c>
      <c r="BH224" s="51"/>
      <c r="BI224" s="51"/>
      <c r="BJ224" s="51"/>
      <c r="BK224" s="51"/>
      <c r="BL224" s="51"/>
      <c r="BM224" s="68">
        <f t="shared" ref="BM224" si="902">SUM(BH224:BL224)</f>
        <v>0</v>
      </c>
      <c r="BN224" s="51"/>
      <c r="BO224" s="51"/>
      <c r="BP224" s="51"/>
      <c r="BQ224" s="51"/>
      <c r="BR224" s="51"/>
      <c r="BS224" s="68">
        <f t="shared" ref="BS224" si="903">SUM(BN224:BR224)</f>
        <v>0</v>
      </c>
      <c r="BT224" s="51"/>
      <c r="BU224" s="51"/>
      <c r="BV224" s="51"/>
      <c r="BW224" s="51"/>
      <c r="BX224" s="51"/>
      <c r="BY224" s="68">
        <f t="shared" ref="BY224" si="904">SUM(BT224:BX224)</f>
        <v>0</v>
      </c>
      <c r="BZ224" s="51"/>
      <c r="CA224" s="51"/>
      <c r="CB224" s="51"/>
      <c r="CC224" s="51"/>
      <c r="CD224" s="51"/>
      <c r="CE224" s="68">
        <f t="shared" ref="CE224" si="905">SUM(BZ224:CD224)</f>
        <v>0</v>
      </c>
      <c r="CF224" s="51"/>
      <c r="CG224" s="51"/>
      <c r="CH224" s="51"/>
      <c r="CI224" s="51"/>
      <c r="CJ224" s="51"/>
      <c r="CK224" s="68">
        <f t="shared" ref="CK224" si="906">SUM(CF224:CJ224)</f>
        <v>0</v>
      </c>
      <c r="CL224" s="67">
        <f t="shared" si="877"/>
        <v>44168000</v>
      </c>
      <c r="CM224" s="67">
        <f t="shared" si="877"/>
        <v>7628000</v>
      </c>
      <c r="CN224" s="67">
        <f t="shared" si="877"/>
        <v>0</v>
      </c>
      <c r="CO224" s="67">
        <f t="shared" si="877"/>
        <v>0</v>
      </c>
      <c r="CP224" s="67">
        <f t="shared" si="877"/>
        <v>0</v>
      </c>
      <c r="CQ224" s="67">
        <f t="shared" si="877"/>
        <v>51796000</v>
      </c>
      <c r="CR224" s="37">
        <f t="shared" si="878"/>
        <v>51796000</v>
      </c>
      <c r="CS224" s="39">
        <f t="shared" si="879"/>
        <v>0</v>
      </c>
      <c r="CT224" s="53">
        <f t="shared" si="880"/>
        <v>0</v>
      </c>
      <c r="CU224" s="39">
        <f t="shared" si="881"/>
        <v>0</v>
      </c>
      <c r="CV224" s="39">
        <f t="shared" si="882"/>
        <v>0</v>
      </c>
      <c r="CW224" s="39">
        <f t="shared" si="883"/>
        <v>0</v>
      </c>
      <c r="CX224" s="39">
        <f t="shared" si="884"/>
        <v>0</v>
      </c>
      <c r="CY224" s="39">
        <f t="shared" si="885"/>
        <v>0</v>
      </c>
      <c r="CZ224" s="39">
        <f t="shared" si="886"/>
        <v>0</v>
      </c>
      <c r="DA224" s="39">
        <f t="shared" si="887"/>
        <v>0</v>
      </c>
      <c r="DB224" s="39">
        <f t="shared" si="888"/>
        <v>0</v>
      </c>
      <c r="DC224" s="39">
        <f t="shared" si="889"/>
        <v>0</v>
      </c>
      <c r="DD224" s="39">
        <f>+HLOOKUP('Reporte Evolución Mensual'!$F$2-2,$CR$2:$DC$251, Input!$DG224, FALSE)</f>
        <v>10606121.666666666</v>
      </c>
      <c r="DE224" s="39">
        <f>+HLOOKUP('Reporte Evolución Mensual'!$F$2-1,$CR$2:$DC$251, Input!$DG224, FALSE)</f>
        <v>187119305.44513953</v>
      </c>
      <c r="DF224" s="39">
        <f>+HLOOKUP('Reporte Evolución Mensual'!$F$2,$CR$2:$DC$251, Input!$DG224, FALSE)</f>
        <v>29270178.64310088</v>
      </c>
      <c r="DG224" s="40">
        <f t="shared" si="795"/>
        <v>224</v>
      </c>
      <c r="DH224" s="39"/>
      <c r="DI224" s="39"/>
      <c r="DJ224" s="39"/>
      <c r="DK224" s="39"/>
      <c r="DL224" s="39"/>
      <c r="DM224" s="39"/>
      <c r="DN224" s="39"/>
      <c r="DO224" s="58"/>
      <c r="DP224" s="58"/>
      <c r="DQ224" s="58"/>
      <c r="DR224" s="58"/>
      <c r="DS224" s="41"/>
      <c r="DT224" s="41"/>
      <c r="DU224" s="41"/>
      <c r="DV224" s="345"/>
    </row>
    <row r="225" spans="1:126" ht="15" customHeight="1" x14ac:dyDescent="0.3">
      <c r="A225" s="1" t="str">
        <f t="shared" si="713"/>
        <v>ADIFSE</v>
      </c>
      <c r="B225" s="1" t="str">
        <f t="shared" si="714"/>
        <v>ADIFSE</v>
      </c>
      <c r="C225" s="1" t="str">
        <f t="shared" si="715"/>
        <v>MAY</v>
      </c>
      <c r="D225" s="75" t="s">
        <v>108</v>
      </c>
      <c r="E225" s="122" t="str">
        <f>CONCATENATE(H225," - ",I225)</f>
        <v>Aplicaciones Financieras - Total</v>
      </c>
      <c r="F225" s="125"/>
      <c r="G225" s="16" t="s">
        <v>259</v>
      </c>
      <c r="H225" s="16" t="s">
        <v>259</v>
      </c>
      <c r="I225" s="7" t="s">
        <v>173</v>
      </c>
      <c r="J225" s="32" t="s">
        <v>289</v>
      </c>
      <c r="K225" s="46"/>
      <c r="L225" s="46">
        <f t="shared" ref="L225:BW225" si="907">+L217+L219+L223+L224</f>
        <v>0</v>
      </c>
      <c r="M225" s="46">
        <f t="shared" si="907"/>
        <v>0</v>
      </c>
      <c r="N225" s="46">
        <f t="shared" si="907"/>
        <v>0</v>
      </c>
      <c r="O225" s="46">
        <f t="shared" si="907"/>
        <v>0</v>
      </c>
      <c r="P225" s="46">
        <f t="shared" si="907"/>
        <v>0</v>
      </c>
      <c r="Q225" s="56">
        <f t="shared" si="907"/>
        <v>0</v>
      </c>
      <c r="R225" s="46">
        <f t="shared" si="907"/>
        <v>44168000</v>
      </c>
      <c r="S225" s="46">
        <f t="shared" si="907"/>
        <v>7628000</v>
      </c>
      <c r="T225" s="46">
        <f t="shared" si="907"/>
        <v>0</v>
      </c>
      <c r="U225" s="46">
        <f t="shared" si="907"/>
        <v>0</v>
      </c>
      <c r="V225" s="46">
        <f t="shared" si="907"/>
        <v>0</v>
      </c>
      <c r="W225" s="86">
        <f t="shared" si="907"/>
        <v>51796000</v>
      </c>
      <c r="X225" s="46">
        <f t="shared" si="907"/>
        <v>0</v>
      </c>
      <c r="Y225" s="46">
        <f t="shared" si="907"/>
        <v>8100000</v>
      </c>
      <c r="Z225" s="46">
        <f t="shared" si="907"/>
        <v>0</v>
      </c>
      <c r="AA225" s="46">
        <f t="shared" si="907"/>
        <v>0</v>
      </c>
      <c r="AB225" s="46">
        <f t="shared" si="907"/>
        <v>0</v>
      </c>
      <c r="AC225" s="86">
        <f t="shared" si="907"/>
        <v>8100000</v>
      </c>
      <c r="AD225" s="46">
        <f t="shared" si="907"/>
        <v>0</v>
      </c>
      <c r="AE225" s="46">
        <f t="shared" si="907"/>
        <v>10606121.666666666</v>
      </c>
      <c r="AF225" s="46">
        <f t="shared" si="907"/>
        <v>0</v>
      </c>
      <c r="AG225" s="46">
        <f t="shared" si="907"/>
        <v>0</v>
      </c>
      <c r="AH225" s="46">
        <f t="shared" si="907"/>
        <v>0</v>
      </c>
      <c r="AI225" s="86">
        <f t="shared" si="907"/>
        <v>10606121.666666666</v>
      </c>
      <c r="AJ225" s="46">
        <f t="shared" si="907"/>
        <v>170045480.32684785</v>
      </c>
      <c r="AK225" s="46">
        <f t="shared" si="907"/>
        <v>17073825.118291669</v>
      </c>
      <c r="AL225" s="46">
        <f t="shared" si="907"/>
        <v>0</v>
      </c>
      <c r="AM225" s="46">
        <f t="shared" si="907"/>
        <v>0</v>
      </c>
      <c r="AN225" s="46">
        <f t="shared" si="907"/>
        <v>0</v>
      </c>
      <c r="AO225" s="86">
        <f t="shared" si="907"/>
        <v>187119305.44513953</v>
      </c>
      <c r="AP225" s="46">
        <f t="shared" si="907"/>
        <v>14127345.99147588</v>
      </c>
      <c r="AQ225" s="46">
        <f t="shared" si="907"/>
        <v>15142832.651625</v>
      </c>
      <c r="AR225" s="46">
        <f t="shared" si="907"/>
        <v>0</v>
      </c>
      <c r="AS225" s="46">
        <f t="shared" si="907"/>
        <v>0</v>
      </c>
      <c r="AT225" s="46">
        <f t="shared" si="907"/>
        <v>0</v>
      </c>
      <c r="AU225" s="86">
        <f t="shared" si="907"/>
        <v>29270178.64310088</v>
      </c>
      <c r="AV225" s="46">
        <f t="shared" si="907"/>
        <v>0</v>
      </c>
      <c r="AW225" s="46">
        <f t="shared" si="907"/>
        <v>7990453.4516249998</v>
      </c>
      <c r="AX225" s="46">
        <f t="shared" si="907"/>
        <v>0</v>
      </c>
      <c r="AY225" s="46">
        <f t="shared" si="907"/>
        <v>408.00852409005165</v>
      </c>
      <c r="AZ225" s="46">
        <f t="shared" si="907"/>
        <v>0</v>
      </c>
      <c r="BA225" s="86">
        <f t="shared" si="907"/>
        <v>7990861.4601490898</v>
      </c>
      <c r="BB225" s="46">
        <f t="shared" si="907"/>
        <v>0</v>
      </c>
      <c r="BC225" s="46">
        <f t="shared" si="907"/>
        <v>7990453.4516249895</v>
      </c>
      <c r="BD225" s="46">
        <f t="shared" si="907"/>
        <v>0</v>
      </c>
      <c r="BE225" s="46">
        <f t="shared" si="907"/>
        <v>0</v>
      </c>
      <c r="BF225" s="46">
        <f t="shared" si="907"/>
        <v>0</v>
      </c>
      <c r="BG225" s="86">
        <f t="shared" si="907"/>
        <v>7990453.4516249895</v>
      </c>
      <c r="BH225" s="46">
        <f t="shared" si="907"/>
        <v>0</v>
      </c>
      <c r="BI225" s="46">
        <f t="shared" si="907"/>
        <v>148936853.45162499</v>
      </c>
      <c r="BJ225" s="46">
        <f t="shared" si="907"/>
        <v>0</v>
      </c>
      <c r="BK225" s="46">
        <f t="shared" si="907"/>
        <v>0</v>
      </c>
      <c r="BL225" s="46">
        <f t="shared" si="907"/>
        <v>0</v>
      </c>
      <c r="BM225" s="86">
        <f t="shared" si="907"/>
        <v>148936853.45162499</v>
      </c>
      <c r="BN225" s="46">
        <f t="shared" si="907"/>
        <v>0</v>
      </c>
      <c r="BO225" s="46">
        <f t="shared" si="907"/>
        <v>16411149.984999999</v>
      </c>
      <c r="BP225" s="46">
        <f t="shared" si="907"/>
        <v>0</v>
      </c>
      <c r="BQ225" s="46">
        <f t="shared" si="907"/>
        <v>0</v>
      </c>
      <c r="BR225" s="46">
        <f t="shared" si="907"/>
        <v>0</v>
      </c>
      <c r="BS225" s="86">
        <f t="shared" si="907"/>
        <v>16411149.984999999</v>
      </c>
      <c r="BT225" s="46">
        <f t="shared" si="907"/>
        <v>0</v>
      </c>
      <c r="BU225" s="46">
        <f t="shared" si="907"/>
        <v>10894847.35</v>
      </c>
      <c r="BV225" s="46">
        <f t="shared" si="907"/>
        <v>0</v>
      </c>
      <c r="BW225" s="46">
        <f t="shared" si="907"/>
        <v>0</v>
      </c>
      <c r="BX225" s="46">
        <f t="shared" ref="BX225:CK225" si="908">+BX217+BX219+BX223+BX224</f>
        <v>0</v>
      </c>
      <c r="BY225" s="86">
        <f t="shared" si="908"/>
        <v>10894847.35</v>
      </c>
      <c r="BZ225" s="46">
        <f t="shared" si="908"/>
        <v>0</v>
      </c>
      <c r="CA225" s="46">
        <f t="shared" si="908"/>
        <v>16066952.449999999</v>
      </c>
      <c r="CB225" s="46">
        <f t="shared" si="908"/>
        <v>0</v>
      </c>
      <c r="CC225" s="46">
        <f t="shared" si="908"/>
        <v>0</v>
      </c>
      <c r="CD225" s="46">
        <f t="shared" si="908"/>
        <v>0</v>
      </c>
      <c r="CE225" s="86">
        <f t="shared" si="908"/>
        <v>16066952.449999999</v>
      </c>
      <c r="CF225" s="46">
        <f t="shared" si="908"/>
        <v>0</v>
      </c>
      <c r="CG225" s="46">
        <f t="shared" si="908"/>
        <v>4305900</v>
      </c>
      <c r="CH225" s="46">
        <f t="shared" si="908"/>
        <v>0</v>
      </c>
      <c r="CI225" s="46">
        <f t="shared" si="908"/>
        <v>0</v>
      </c>
      <c r="CJ225" s="46">
        <f t="shared" si="908"/>
        <v>0</v>
      </c>
      <c r="CK225" s="86">
        <f t="shared" si="908"/>
        <v>4305900</v>
      </c>
      <c r="CL225" s="56">
        <f t="shared" si="877"/>
        <v>228340826.31832373</v>
      </c>
      <c r="CM225" s="56">
        <f t="shared" si="877"/>
        <v>271147389.57645833</v>
      </c>
      <c r="CN225" s="56">
        <f t="shared" si="877"/>
        <v>0</v>
      </c>
      <c r="CO225" s="56">
        <f t="shared" si="877"/>
        <v>408.00852409005165</v>
      </c>
      <c r="CP225" s="56">
        <f t="shared" si="877"/>
        <v>0</v>
      </c>
      <c r="CQ225" s="56">
        <f t="shared" si="877"/>
        <v>499488623.90330619</v>
      </c>
      <c r="CR225" s="37">
        <f t="shared" si="878"/>
        <v>51796000</v>
      </c>
      <c r="CS225" s="39">
        <f t="shared" si="879"/>
        <v>8100000</v>
      </c>
      <c r="CT225" s="53">
        <f t="shared" si="880"/>
        <v>10606121.666666666</v>
      </c>
      <c r="CU225" s="39">
        <f t="shared" si="881"/>
        <v>187119305.44513953</v>
      </c>
      <c r="CV225" s="39">
        <f t="shared" si="882"/>
        <v>29270178.64310088</v>
      </c>
      <c r="CW225" s="39">
        <f t="shared" si="883"/>
        <v>7990861.4601490898</v>
      </c>
      <c r="CX225" s="39">
        <f t="shared" si="884"/>
        <v>7990453.4516249895</v>
      </c>
      <c r="CY225" s="39">
        <f t="shared" si="885"/>
        <v>148936853.45162499</v>
      </c>
      <c r="CZ225" s="39">
        <f t="shared" si="886"/>
        <v>16411149.984999999</v>
      </c>
      <c r="DA225" s="39">
        <f t="shared" si="887"/>
        <v>10894847.35</v>
      </c>
      <c r="DB225" s="39">
        <f t="shared" si="888"/>
        <v>16066952.449999999</v>
      </c>
      <c r="DC225" s="39">
        <f t="shared" si="889"/>
        <v>4305900</v>
      </c>
      <c r="DD225" s="39">
        <f>+HLOOKUP('Reporte Evolución Mensual'!$F$2-2,$CR$2:$DC$251, Input!$DG225, FALSE)</f>
        <v>0</v>
      </c>
      <c r="DE225" s="39">
        <f>+HLOOKUP('Reporte Evolución Mensual'!$F$2-1,$CR$2:$DC$251, Input!$DG225, FALSE)</f>
        <v>0</v>
      </c>
      <c r="DF225" s="39">
        <f>+HLOOKUP('Reporte Evolución Mensual'!$F$2,$CR$2:$DC$251, Input!$DG225, FALSE)</f>
        <v>0</v>
      </c>
      <c r="DG225" s="40">
        <f t="shared" si="795"/>
        <v>225</v>
      </c>
      <c r="DH225" s="37"/>
      <c r="DI225" s="37"/>
      <c r="DJ225" s="37"/>
      <c r="DK225" s="37"/>
      <c r="DL225" s="37"/>
      <c r="DM225" s="37"/>
      <c r="DN225" s="37"/>
      <c r="DO225" s="63"/>
      <c r="DP225" s="63"/>
      <c r="DQ225" s="63"/>
      <c r="DR225" s="63"/>
      <c r="DS225" s="75"/>
      <c r="DT225" s="75"/>
      <c r="DU225" s="75"/>
      <c r="DV225" s="345" t="s">
        <v>163</v>
      </c>
    </row>
    <row r="226" spans="1:126" ht="15" customHeight="1" x14ac:dyDescent="0.3">
      <c r="A226" s="1" t="str">
        <f t="shared" si="713"/>
        <v>ADIFSE</v>
      </c>
      <c r="B226" s="1" t="str">
        <f t="shared" si="714"/>
        <v>ADIFSE</v>
      </c>
      <c r="C226" s="1" t="str">
        <f t="shared" si="715"/>
        <v>MAY</v>
      </c>
      <c r="D226" s="41" t="s">
        <v>108</v>
      </c>
      <c r="E226" s="117" t="s">
        <v>333</v>
      </c>
      <c r="F226" s="116"/>
      <c r="G226" s="1"/>
      <c r="H226" s="32"/>
      <c r="I226" s="32"/>
      <c r="J226" s="32"/>
      <c r="K226" s="88"/>
      <c r="L226" s="46"/>
      <c r="M226" s="46"/>
      <c r="N226" s="46"/>
      <c r="O226" s="46"/>
      <c r="P226" s="46"/>
      <c r="Q226" s="56"/>
      <c r="R226" s="46"/>
      <c r="S226" s="46"/>
      <c r="T226" s="46"/>
      <c r="U226" s="46"/>
      <c r="V226" s="46"/>
      <c r="W226" s="57"/>
      <c r="X226" s="46"/>
      <c r="Y226" s="46"/>
      <c r="Z226" s="46"/>
      <c r="AA226" s="46"/>
      <c r="AB226" s="46"/>
      <c r="AC226" s="57"/>
      <c r="AD226" s="46"/>
      <c r="AE226" s="46"/>
      <c r="AF226" s="46"/>
      <c r="AG226" s="46"/>
      <c r="AH226" s="46"/>
      <c r="AI226" s="57"/>
      <c r="AJ226" s="46"/>
      <c r="AK226" s="46"/>
      <c r="AL226" s="46"/>
      <c r="AM226" s="46"/>
      <c r="AN226" s="46"/>
      <c r="AO226" s="57"/>
      <c r="AP226" s="46"/>
      <c r="AQ226" s="46"/>
      <c r="AR226" s="46"/>
      <c r="AS226" s="46"/>
      <c r="AT226" s="46"/>
      <c r="AU226" s="57"/>
      <c r="AV226" s="46"/>
      <c r="AW226" s="46"/>
      <c r="AX226" s="46"/>
      <c r="AY226" s="46"/>
      <c r="AZ226" s="46"/>
      <c r="BA226" s="57"/>
      <c r="BB226" s="46"/>
      <c r="BC226" s="46"/>
      <c r="BD226" s="46"/>
      <c r="BE226" s="46"/>
      <c r="BF226" s="46"/>
      <c r="BG226" s="57"/>
      <c r="BH226" s="46"/>
      <c r="BI226" s="46"/>
      <c r="BJ226" s="46"/>
      <c r="BK226" s="46"/>
      <c r="BL226" s="46"/>
      <c r="BM226" s="57"/>
      <c r="BN226" s="46"/>
      <c r="BO226" s="46"/>
      <c r="BP226" s="46"/>
      <c r="BQ226" s="46"/>
      <c r="BR226" s="46"/>
      <c r="BS226" s="57"/>
      <c r="BT226" s="46"/>
      <c r="BU226" s="46"/>
      <c r="BV226" s="46"/>
      <c r="BW226" s="46"/>
      <c r="BX226" s="46"/>
      <c r="BY226" s="57"/>
      <c r="BZ226" s="46"/>
      <c r="CA226" s="46"/>
      <c r="CB226" s="46"/>
      <c r="CC226" s="46"/>
      <c r="CD226" s="46"/>
      <c r="CE226" s="57"/>
      <c r="CF226" s="46"/>
      <c r="CG226" s="46"/>
      <c r="CH226" s="46"/>
      <c r="CI226" s="46"/>
      <c r="CJ226" s="46"/>
      <c r="CK226" s="57"/>
      <c r="CL226" s="56"/>
      <c r="CM226" s="56"/>
      <c r="CN226" s="56"/>
      <c r="CO226" s="56"/>
      <c r="CP226" s="56"/>
      <c r="CQ226" s="56"/>
      <c r="CR226" s="37"/>
      <c r="CS226" s="39"/>
      <c r="CT226" s="53"/>
      <c r="CU226" s="39"/>
      <c r="CV226" s="39"/>
      <c r="CW226" s="39"/>
      <c r="CX226" s="39"/>
      <c r="CY226" s="39"/>
      <c r="CZ226" s="39"/>
      <c r="DA226" s="39"/>
      <c r="DB226" s="39"/>
      <c r="DC226" s="39"/>
      <c r="DD226" s="39">
        <f>+HLOOKUP('Reporte Evolución Mensual'!$F$2-2,$CR$2:$DC$251, Input!$DG226, FALSE)</f>
        <v>0</v>
      </c>
      <c r="DE226" s="39">
        <f>+HLOOKUP('Reporte Evolución Mensual'!$F$2-1,$CR$2:$DC$251, Input!$DG226, FALSE)</f>
        <v>0</v>
      </c>
      <c r="DF226" s="39">
        <f>+HLOOKUP('Reporte Evolución Mensual'!$F$2,$CR$2:$DC$251, Input!$DG226, FALSE)</f>
        <v>0</v>
      </c>
      <c r="DG226" s="40">
        <f t="shared" si="795"/>
        <v>226</v>
      </c>
      <c r="DH226" s="39"/>
      <c r="DI226" s="39"/>
      <c r="DJ226" s="39"/>
      <c r="DK226" s="39"/>
      <c r="DL226" s="39"/>
      <c r="DM226" s="39"/>
      <c r="DN226" s="39"/>
      <c r="DO226" s="58"/>
      <c r="DP226" s="58"/>
      <c r="DQ226" s="58"/>
      <c r="DR226" s="58"/>
      <c r="DS226" s="41"/>
      <c r="DT226" s="41"/>
      <c r="DU226" s="41"/>
      <c r="DV226" s="345"/>
    </row>
    <row r="227" spans="1:126" ht="15" customHeight="1" x14ac:dyDescent="0.3">
      <c r="A227" s="1" t="str">
        <f t="shared" si="713"/>
        <v>ADIFSE</v>
      </c>
      <c r="B227" s="1" t="str">
        <f t="shared" si="714"/>
        <v>ADIFSE</v>
      </c>
      <c r="C227" s="1" t="str">
        <f t="shared" si="715"/>
        <v>MAY</v>
      </c>
      <c r="D227" s="41" t="s">
        <v>108</v>
      </c>
      <c r="E227" s="134" t="str">
        <f>G228</f>
        <v>Financiamiento Gastos Corrientes</v>
      </c>
      <c r="F227" s="135"/>
      <c r="G227" s="1"/>
      <c r="H227" s="32"/>
      <c r="I227" s="32"/>
      <c r="J227" s="32"/>
      <c r="K227" s="88"/>
      <c r="L227" s="46"/>
      <c r="M227" s="46"/>
      <c r="N227" s="46"/>
      <c r="O227" s="46"/>
      <c r="P227" s="46"/>
      <c r="Q227" s="56"/>
      <c r="R227" s="46"/>
      <c r="S227" s="46"/>
      <c r="T227" s="46"/>
      <c r="U227" s="46"/>
      <c r="V227" s="46"/>
      <c r="W227" s="86"/>
      <c r="X227" s="46"/>
      <c r="Y227" s="46"/>
      <c r="Z227" s="46"/>
      <c r="AA227" s="46"/>
      <c r="AB227" s="46"/>
      <c r="AC227" s="86"/>
      <c r="AD227" s="46"/>
      <c r="AE227" s="46"/>
      <c r="AF227" s="46"/>
      <c r="AG227" s="46"/>
      <c r="AH227" s="46"/>
      <c r="AI227" s="86"/>
      <c r="AJ227" s="46"/>
      <c r="AK227" s="46"/>
      <c r="AL227" s="46"/>
      <c r="AM227" s="46"/>
      <c r="AN227" s="46"/>
      <c r="AO227" s="86"/>
      <c r="AP227" s="46"/>
      <c r="AQ227" s="46"/>
      <c r="AR227" s="46"/>
      <c r="AS227" s="46"/>
      <c r="AT227" s="46"/>
      <c r="AU227" s="86"/>
      <c r="AV227" s="46"/>
      <c r="AW227" s="46"/>
      <c r="AX227" s="46"/>
      <c r="AY227" s="46"/>
      <c r="AZ227" s="46"/>
      <c r="BA227" s="86"/>
      <c r="BB227" s="46"/>
      <c r="BC227" s="46"/>
      <c r="BD227" s="46"/>
      <c r="BE227" s="46"/>
      <c r="BF227" s="46"/>
      <c r="BG227" s="86"/>
      <c r="BH227" s="46"/>
      <c r="BI227" s="46"/>
      <c r="BJ227" s="46"/>
      <c r="BK227" s="46"/>
      <c r="BL227" s="46"/>
      <c r="BM227" s="86"/>
      <c r="BN227" s="46"/>
      <c r="BO227" s="46"/>
      <c r="BP227" s="46"/>
      <c r="BQ227" s="46"/>
      <c r="BR227" s="46"/>
      <c r="BS227" s="86"/>
      <c r="BT227" s="46"/>
      <c r="BU227" s="46"/>
      <c r="BV227" s="46"/>
      <c r="BW227" s="46"/>
      <c r="BX227" s="46"/>
      <c r="BY227" s="86"/>
      <c r="BZ227" s="46"/>
      <c r="CA227" s="46"/>
      <c r="CB227" s="46"/>
      <c r="CC227" s="46"/>
      <c r="CD227" s="46"/>
      <c r="CE227" s="86"/>
      <c r="CF227" s="46"/>
      <c r="CG227" s="46"/>
      <c r="CH227" s="46"/>
      <c r="CI227" s="46"/>
      <c r="CJ227" s="46"/>
      <c r="CK227" s="86"/>
      <c r="CL227" s="56"/>
      <c r="CM227" s="56"/>
      <c r="CN227" s="56"/>
      <c r="CO227" s="56"/>
      <c r="CP227" s="56"/>
      <c r="CQ227" s="56"/>
      <c r="CR227" s="37"/>
      <c r="CS227" s="39"/>
      <c r="CT227" s="53"/>
      <c r="CU227" s="39"/>
      <c r="CV227" s="39"/>
      <c r="CW227" s="39"/>
      <c r="CX227" s="39"/>
      <c r="CY227" s="39"/>
      <c r="CZ227" s="39"/>
      <c r="DA227" s="39"/>
      <c r="DB227" s="39"/>
      <c r="DC227" s="39"/>
      <c r="DD227" s="39">
        <f>+HLOOKUP('Reporte Evolución Mensual'!$F$2-2,$CR$2:$DC$251, Input!$DG227, FALSE)</f>
        <v>41815531.210000001</v>
      </c>
      <c r="DE227" s="39">
        <f>+HLOOKUP('Reporte Evolución Mensual'!$F$2-1,$CR$2:$DC$251, Input!$DG227, FALSE)</f>
        <v>56508375.13000001</v>
      </c>
      <c r="DF227" s="39">
        <f>+HLOOKUP('Reporte Evolución Mensual'!$F$2,$CR$2:$DC$251, Input!$DG227, FALSE)</f>
        <v>53487162.529999994</v>
      </c>
      <c r="DG227" s="40">
        <f t="shared" si="795"/>
        <v>227</v>
      </c>
      <c r="DH227" s="39"/>
      <c r="DI227" s="39"/>
      <c r="DJ227" s="39"/>
      <c r="DK227" s="39"/>
      <c r="DL227" s="39"/>
      <c r="DM227" s="39"/>
      <c r="DN227" s="39"/>
      <c r="DO227" s="58"/>
      <c r="DP227" s="58"/>
      <c r="DQ227" s="58"/>
      <c r="DR227" s="58"/>
      <c r="DS227" s="41"/>
      <c r="DT227" s="41"/>
      <c r="DU227" s="41"/>
      <c r="DV227" s="345"/>
    </row>
    <row r="228" spans="1:126" ht="15" customHeight="1" x14ac:dyDescent="0.3">
      <c r="A228" s="1" t="str">
        <f t="shared" si="713"/>
        <v>ADIFSE</v>
      </c>
      <c r="B228" s="1" t="str">
        <f t="shared" si="714"/>
        <v>ADIFSE</v>
      </c>
      <c r="C228" s="1" t="str">
        <f t="shared" si="715"/>
        <v>MAY</v>
      </c>
      <c r="D228" s="1" t="s">
        <v>163</v>
      </c>
      <c r="E228" s="113" t="str">
        <f>H228</f>
        <v>Tesoro y Crédito Interno</v>
      </c>
      <c r="F228" s="136" t="s">
        <v>272</v>
      </c>
      <c r="G228" s="32" t="s">
        <v>273</v>
      </c>
      <c r="H228" s="32" t="s">
        <v>274</v>
      </c>
      <c r="I228" s="32" t="s">
        <v>274</v>
      </c>
      <c r="J228" s="32" t="s">
        <v>289</v>
      </c>
      <c r="K228" s="38"/>
      <c r="L228" s="38">
        <f>+L184</f>
        <v>0</v>
      </c>
      <c r="M228" s="91"/>
      <c r="N228" s="91"/>
      <c r="O228" s="91"/>
      <c r="P228" s="91"/>
      <c r="Q228" s="93">
        <f t="shared" ref="Q228:Q233" si="909">SUM(L228:P228)</f>
        <v>0</v>
      </c>
      <c r="R228" s="38">
        <f>+R143</f>
        <v>44168000</v>
      </c>
      <c r="S228" s="91"/>
      <c r="T228" s="91"/>
      <c r="U228" s="91"/>
      <c r="V228" s="91"/>
      <c r="W228" s="92">
        <f t="shared" ref="W228:W233" si="910">SUM(R228:V228)</f>
        <v>44168000</v>
      </c>
      <c r="X228" s="38">
        <f>+X143</f>
        <v>45380000</v>
      </c>
      <c r="Y228" s="91"/>
      <c r="Z228" s="91"/>
      <c r="AA228" s="91"/>
      <c r="AB228" s="91"/>
      <c r="AC228" s="92">
        <f t="shared" ref="AC228:AC233" si="911">SUM(X228:AB228)</f>
        <v>45380000</v>
      </c>
      <c r="AD228" s="38">
        <f>+AD184</f>
        <v>41815531.210000001</v>
      </c>
      <c r="AE228" s="91"/>
      <c r="AF228" s="91"/>
      <c r="AG228" s="91"/>
      <c r="AH228" s="91"/>
      <c r="AI228" s="92">
        <f t="shared" ref="AI228:AI233" si="912">SUM(AD228:AH228)</f>
        <v>41815531.210000001</v>
      </c>
      <c r="AJ228" s="38">
        <f>+AJ184</f>
        <v>56508375.13000001</v>
      </c>
      <c r="AK228" s="91"/>
      <c r="AL228" s="91"/>
      <c r="AM228" s="91"/>
      <c r="AN228" s="91"/>
      <c r="AO228" s="92">
        <f t="shared" ref="AO228:AO233" si="913">SUM(AJ228:AN228)</f>
        <v>56508375.13000001</v>
      </c>
      <c r="AP228" s="38">
        <f>+AP184</f>
        <v>53487162.529999994</v>
      </c>
      <c r="AQ228" s="91"/>
      <c r="AR228" s="91"/>
      <c r="AS228" s="91"/>
      <c r="AT228" s="91"/>
      <c r="AU228" s="92">
        <f t="shared" ref="AU228:AU233" si="914">SUM(AP228:AT228)</f>
        <v>53487162.529999994</v>
      </c>
      <c r="AV228" s="38">
        <f>+AV184</f>
        <v>0</v>
      </c>
      <c r="AW228" s="91"/>
      <c r="AX228" s="91"/>
      <c r="AY228" s="91"/>
      <c r="AZ228" s="91"/>
      <c r="BA228" s="92">
        <f t="shared" ref="BA228:BA233" si="915">SUM(AV228:AZ228)</f>
        <v>0</v>
      </c>
      <c r="BB228" s="38">
        <f>+BB184</f>
        <v>0</v>
      </c>
      <c r="BC228" s="91"/>
      <c r="BD228" s="91"/>
      <c r="BE228" s="91"/>
      <c r="BF228" s="91"/>
      <c r="BG228" s="92">
        <f t="shared" ref="BG228:BG233" si="916">SUM(BB228:BF228)</f>
        <v>0</v>
      </c>
      <c r="BH228" s="38">
        <f>+BH184</f>
        <v>0</v>
      </c>
      <c r="BI228" s="91"/>
      <c r="BJ228" s="91"/>
      <c r="BK228" s="91"/>
      <c r="BL228" s="91"/>
      <c r="BM228" s="92">
        <f t="shared" ref="BM228:BM233" si="917">SUM(BH228:BL228)</f>
        <v>0</v>
      </c>
      <c r="BN228" s="38">
        <f>+BN184</f>
        <v>0</v>
      </c>
      <c r="BO228" s="91"/>
      <c r="BP228" s="91"/>
      <c r="BQ228" s="91"/>
      <c r="BR228" s="91"/>
      <c r="BS228" s="92">
        <f t="shared" ref="BS228:BS233" si="918">SUM(BN228:BR228)</f>
        <v>0</v>
      </c>
      <c r="BT228" s="38">
        <f>+BT184</f>
        <v>0</v>
      </c>
      <c r="BU228" s="91"/>
      <c r="BV228" s="91"/>
      <c r="BW228" s="91"/>
      <c r="BX228" s="91"/>
      <c r="BY228" s="92">
        <f t="shared" ref="BY228:BY233" si="919">SUM(BT228:BX228)</f>
        <v>0</v>
      </c>
      <c r="BZ228" s="38">
        <f>+BZ184</f>
        <v>0</v>
      </c>
      <c r="CA228" s="91"/>
      <c r="CB228" s="91"/>
      <c r="CC228" s="91"/>
      <c r="CD228" s="91"/>
      <c r="CE228" s="92">
        <f t="shared" ref="CE228:CE233" si="920">SUM(BZ228:CD228)</f>
        <v>0</v>
      </c>
      <c r="CF228" s="38">
        <f>+CF184</f>
        <v>0</v>
      </c>
      <c r="CG228" s="91"/>
      <c r="CH228" s="91"/>
      <c r="CI228" s="91"/>
      <c r="CJ228" s="91"/>
      <c r="CK228" s="71">
        <f t="shared" ref="CK228:CK233" si="921">SUM(CF228:CJ228)</f>
        <v>0</v>
      </c>
      <c r="CL228" s="67">
        <f t="shared" ref="CL228:CQ233" si="922">+R228+X228+AD228+AJ228+AP228+AV228+BB228+BH228+BN228+BT228+BZ228+CF228</f>
        <v>241359068.87000003</v>
      </c>
      <c r="CM228" s="67">
        <f t="shared" si="922"/>
        <v>0</v>
      </c>
      <c r="CN228" s="67">
        <f t="shared" si="922"/>
        <v>0</v>
      </c>
      <c r="CO228" s="67">
        <f t="shared" si="922"/>
        <v>0</v>
      </c>
      <c r="CP228" s="67">
        <f t="shared" si="922"/>
        <v>0</v>
      </c>
      <c r="CQ228" s="67">
        <f t="shared" si="922"/>
        <v>241359068.87000003</v>
      </c>
      <c r="CR228" s="37">
        <f t="shared" ref="CR228:CR233" si="923">+W228</f>
        <v>44168000</v>
      </c>
      <c r="CS228" s="39">
        <f t="shared" ref="CS228:CS233" si="924">+AC228</f>
        <v>45380000</v>
      </c>
      <c r="CT228" s="53">
        <f t="shared" ref="CT228:CT233" si="925">+AI228</f>
        <v>41815531.210000001</v>
      </c>
      <c r="CU228" s="39">
        <f t="shared" ref="CU228:CU233" si="926">+AO228</f>
        <v>56508375.13000001</v>
      </c>
      <c r="CV228" s="39">
        <f t="shared" ref="CV228:CV233" si="927">+AU228</f>
        <v>53487162.529999994</v>
      </c>
      <c r="CW228" s="39">
        <f t="shared" ref="CW228:CW233" si="928">+BA228</f>
        <v>0</v>
      </c>
      <c r="CX228" s="39">
        <f t="shared" ref="CX228:CX233" si="929">+BG228</f>
        <v>0</v>
      </c>
      <c r="CY228" s="39">
        <f t="shared" ref="CY228:CY233" si="930">+BM228</f>
        <v>0</v>
      </c>
      <c r="CZ228" s="39">
        <f t="shared" ref="CZ228:CZ233" si="931">+BS228</f>
        <v>0</v>
      </c>
      <c r="DA228" s="39">
        <f t="shared" ref="DA228:DA233" si="932">+BY228</f>
        <v>0</v>
      </c>
      <c r="DB228" s="39">
        <f t="shared" ref="DB228:DB233" si="933">+CE228</f>
        <v>0</v>
      </c>
      <c r="DC228" s="39">
        <f t="shared" ref="DC228:DC233" si="934">+CK228</f>
        <v>0</v>
      </c>
      <c r="DD228" s="39">
        <f>+HLOOKUP('Reporte Evolución Mensual'!$F$2-2,$CR$2:$DC$251, Input!$DG228, FALSE)</f>
        <v>0</v>
      </c>
      <c r="DE228" s="39">
        <f>+HLOOKUP('Reporte Evolución Mensual'!$F$2-1,$CR$2:$DC$251, Input!$DG228, FALSE)</f>
        <v>0</v>
      </c>
      <c r="DF228" s="39">
        <f>+HLOOKUP('Reporte Evolución Mensual'!$F$2,$CR$2:$DC$251, Input!$DG228, FALSE)</f>
        <v>0</v>
      </c>
      <c r="DG228" s="40">
        <f t="shared" si="795"/>
        <v>228</v>
      </c>
      <c r="DH228" s="39"/>
      <c r="DI228" s="39"/>
      <c r="DJ228" s="39"/>
      <c r="DK228" s="39"/>
      <c r="DL228" s="39"/>
      <c r="DM228" s="39"/>
      <c r="DN228" s="39"/>
      <c r="DO228" s="58"/>
      <c r="DP228" s="58"/>
      <c r="DQ228" s="58"/>
      <c r="DR228" s="58"/>
      <c r="DS228" s="1"/>
      <c r="DT228" s="1"/>
      <c r="DU228" s="1"/>
      <c r="DV228" s="345"/>
    </row>
    <row r="229" spans="1:126" ht="15" customHeight="1" x14ac:dyDescent="0.3">
      <c r="A229" s="1" t="str">
        <f t="shared" si="713"/>
        <v>ADIFSE</v>
      </c>
      <c r="B229" s="1" t="str">
        <f t="shared" si="714"/>
        <v>ADIFSE</v>
      </c>
      <c r="C229" s="1" t="str">
        <f t="shared" si="715"/>
        <v>MAY</v>
      </c>
      <c r="D229" s="1" t="s">
        <v>163</v>
      </c>
      <c r="E229" s="113" t="s">
        <v>275</v>
      </c>
      <c r="F229" s="136" t="s">
        <v>276</v>
      </c>
      <c r="G229" s="32" t="s">
        <v>273</v>
      </c>
      <c r="H229" s="32" t="s">
        <v>275</v>
      </c>
      <c r="I229" s="32" t="s">
        <v>275</v>
      </c>
      <c r="J229" s="32" t="s">
        <v>289</v>
      </c>
      <c r="K229" s="38"/>
      <c r="L229" s="38"/>
      <c r="M229" s="91">
        <f>+M184</f>
        <v>0</v>
      </c>
      <c r="N229" s="91"/>
      <c r="O229" s="91"/>
      <c r="P229" s="91"/>
      <c r="Q229" s="93">
        <f t="shared" si="909"/>
        <v>0</v>
      </c>
      <c r="R229" s="38"/>
      <c r="S229" s="91">
        <v>7628000</v>
      </c>
      <c r="T229" s="91"/>
      <c r="U229" s="91"/>
      <c r="V229" s="91"/>
      <c r="W229" s="92">
        <f t="shared" si="910"/>
        <v>7628000</v>
      </c>
      <c r="X229" s="38"/>
      <c r="Y229" s="91">
        <f>+Y184</f>
        <v>0</v>
      </c>
      <c r="Z229" s="91"/>
      <c r="AA229" s="91"/>
      <c r="AB229" s="91"/>
      <c r="AC229" s="92">
        <f t="shared" si="911"/>
        <v>0</v>
      </c>
      <c r="AD229" s="38"/>
      <c r="AE229" s="91">
        <f>+AE184</f>
        <v>0</v>
      </c>
      <c r="AF229" s="91"/>
      <c r="AG229" s="91"/>
      <c r="AH229" s="91"/>
      <c r="AI229" s="92">
        <f t="shared" si="912"/>
        <v>0</v>
      </c>
      <c r="AJ229" s="38"/>
      <c r="AK229" s="91">
        <f>+AK184</f>
        <v>0</v>
      </c>
      <c r="AL229" s="91"/>
      <c r="AM229" s="91"/>
      <c r="AN229" s="91"/>
      <c r="AO229" s="92">
        <f t="shared" si="913"/>
        <v>0</v>
      </c>
      <c r="AP229" s="38"/>
      <c r="AQ229" s="91">
        <f>+AQ184</f>
        <v>0</v>
      </c>
      <c r="AR229" s="91"/>
      <c r="AS229" s="91"/>
      <c r="AT229" s="91"/>
      <c r="AU229" s="92">
        <f t="shared" si="914"/>
        <v>0</v>
      </c>
      <c r="AV229" s="38"/>
      <c r="AW229" s="91">
        <f>+AW184</f>
        <v>0</v>
      </c>
      <c r="AX229" s="91"/>
      <c r="AY229" s="91"/>
      <c r="AZ229" s="91"/>
      <c r="BA229" s="92">
        <f t="shared" si="915"/>
        <v>0</v>
      </c>
      <c r="BB229" s="38"/>
      <c r="BC229" s="91">
        <f>+BC184</f>
        <v>0</v>
      </c>
      <c r="BD229" s="91"/>
      <c r="BE229" s="91"/>
      <c r="BF229" s="91"/>
      <c r="BG229" s="92">
        <f t="shared" si="916"/>
        <v>0</v>
      </c>
      <c r="BH229" s="38"/>
      <c r="BI229" s="91">
        <f>+BI184</f>
        <v>0</v>
      </c>
      <c r="BJ229" s="91"/>
      <c r="BK229" s="91"/>
      <c r="BL229" s="91"/>
      <c r="BM229" s="92">
        <f t="shared" si="917"/>
        <v>0</v>
      </c>
      <c r="BN229" s="38"/>
      <c r="BO229" s="91">
        <f>+BO184</f>
        <v>0</v>
      </c>
      <c r="BP229" s="91"/>
      <c r="BQ229" s="91"/>
      <c r="BR229" s="91"/>
      <c r="BS229" s="92">
        <f t="shared" si="918"/>
        <v>0</v>
      </c>
      <c r="BT229" s="38"/>
      <c r="BU229" s="91">
        <f>+BU184</f>
        <v>0</v>
      </c>
      <c r="BV229" s="91"/>
      <c r="BW229" s="91"/>
      <c r="BX229" s="91"/>
      <c r="BY229" s="92">
        <f t="shared" si="919"/>
        <v>0</v>
      </c>
      <c r="BZ229" s="38"/>
      <c r="CA229" s="91">
        <f>+CA184</f>
        <v>0</v>
      </c>
      <c r="CB229" s="91"/>
      <c r="CC229" s="91"/>
      <c r="CD229" s="91"/>
      <c r="CE229" s="92">
        <f t="shared" si="920"/>
        <v>0</v>
      </c>
      <c r="CF229" s="38"/>
      <c r="CG229" s="91">
        <f>+CG184</f>
        <v>0</v>
      </c>
      <c r="CH229" s="91"/>
      <c r="CI229" s="91"/>
      <c r="CJ229" s="91"/>
      <c r="CK229" s="71">
        <f t="shared" si="921"/>
        <v>0</v>
      </c>
      <c r="CL229" s="67">
        <f t="shared" si="922"/>
        <v>0</v>
      </c>
      <c r="CM229" s="67">
        <f t="shared" si="922"/>
        <v>7628000</v>
      </c>
      <c r="CN229" s="67">
        <f t="shared" si="922"/>
        <v>0</v>
      </c>
      <c r="CO229" s="67">
        <f t="shared" si="922"/>
        <v>0</v>
      </c>
      <c r="CP229" s="67">
        <f t="shared" si="922"/>
        <v>0</v>
      </c>
      <c r="CQ229" s="67">
        <f t="shared" si="922"/>
        <v>7628000</v>
      </c>
      <c r="CR229" s="37">
        <f t="shared" si="923"/>
        <v>7628000</v>
      </c>
      <c r="CS229" s="39">
        <f t="shared" si="924"/>
        <v>0</v>
      </c>
      <c r="CT229" s="53">
        <f t="shared" si="925"/>
        <v>0</v>
      </c>
      <c r="CU229" s="39">
        <f t="shared" si="926"/>
        <v>0</v>
      </c>
      <c r="CV229" s="39">
        <f t="shared" si="927"/>
        <v>0</v>
      </c>
      <c r="CW229" s="39">
        <f t="shared" si="928"/>
        <v>0</v>
      </c>
      <c r="CX229" s="39">
        <f t="shared" si="929"/>
        <v>0</v>
      </c>
      <c r="CY229" s="39">
        <f t="shared" si="930"/>
        <v>0</v>
      </c>
      <c r="CZ229" s="39">
        <f t="shared" si="931"/>
        <v>0</v>
      </c>
      <c r="DA229" s="39">
        <f t="shared" si="932"/>
        <v>0</v>
      </c>
      <c r="DB229" s="39">
        <f t="shared" si="933"/>
        <v>0</v>
      </c>
      <c r="DC229" s="39">
        <f t="shared" si="934"/>
        <v>0</v>
      </c>
      <c r="DD229" s="39">
        <f>+HLOOKUP('Reporte Evolución Mensual'!$F$2-2,$CR$2:$DC$251, Input!$DG229, FALSE)</f>
        <v>0</v>
      </c>
      <c r="DE229" s="39">
        <f>+HLOOKUP('Reporte Evolución Mensual'!$F$2-1,$CR$2:$DC$251, Input!$DG229, FALSE)</f>
        <v>0</v>
      </c>
      <c r="DF229" s="39">
        <f>+HLOOKUP('Reporte Evolución Mensual'!$F$2,$CR$2:$DC$251, Input!$DG229, FALSE)</f>
        <v>0</v>
      </c>
      <c r="DG229" s="40">
        <f t="shared" si="795"/>
        <v>229</v>
      </c>
      <c r="DH229" s="39"/>
      <c r="DI229" s="39"/>
      <c r="DJ229" s="39"/>
      <c r="DK229" s="39"/>
      <c r="DL229" s="39"/>
      <c r="DM229" s="39"/>
      <c r="DN229" s="39"/>
      <c r="DO229" s="58"/>
      <c r="DP229" s="58"/>
      <c r="DQ229" s="58"/>
      <c r="DR229" s="58"/>
      <c r="DS229" s="1"/>
      <c r="DT229" s="1"/>
      <c r="DU229" s="1"/>
      <c r="DV229" s="345" t="s">
        <v>163</v>
      </c>
    </row>
    <row r="230" spans="1:126" ht="15" customHeight="1" x14ac:dyDescent="0.3">
      <c r="A230" s="1" t="str">
        <f t="shared" si="713"/>
        <v>ADIFSE</v>
      </c>
      <c r="B230" s="1" t="str">
        <f t="shared" si="714"/>
        <v>ADIFSE</v>
      </c>
      <c r="C230" s="1" t="str">
        <f t="shared" si="715"/>
        <v>MAY</v>
      </c>
      <c r="D230" s="1" t="s">
        <v>163</v>
      </c>
      <c r="E230" s="113" t="s">
        <v>277</v>
      </c>
      <c r="F230" s="136" t="s">
        <v>278</v>
      </c>
      <c r="G230" s="32" t="s">
        <v>273</v>
      </c>
      <c r="H230" s="32" t="s">
        <v>279</v>
      </c>
      <c r="I230" s="32" t="s">
        <v>279</v>
      </c>
      <c r="J230" s="32" t="s">
        <v>289</v>
      </c>
      <c r="K230" s="38"/>
      <c r="L230" s="38"/>
      <c r="M230" s="91"/>
      <c r="N230" s="91">
        <f>+N184</f>
        <v>0</v>
      </c>
      <c r="O230" s="91"/>
      <c r="P230" s="91"/>
      <c r="Q230" s="93">
        <f t="shared" si="909"/>
        <v>0</v>
      </c>
      <c r="R230" s="38"/>
      <c r="S230" s="91"/>
      <c r="T230" s="91">
        <f>+T184</f>
        <v>0</v>
      </c>
      <c r="U230" s="91"/>
      <c r="V230" s="91"/>
      <c r="W230" s="92">
        <f t="shared" si="910"/>
        <v>0</v>
      </c>
      <c r="X230" s="38"/>
      <c r="Y230" s="91"/>
      <c r="Z230" s="91">
        <f>+Z184</f>
        <v>0</v>
      </c>
      <c r="AA230" s="91"/>
      <c r="AB230" s="91"/>
      <c r="AC230" s="92">
        <f t="shared" si="911"/>
        <v>0</v>
      </c>
      <c r="AD230" s="38"/>
      <c r="AE230" s="91"/>
      <c r="AF230" s="91">
        <f>+AF184</f>
        <v>0</v>
      </c>
      <c r="AG230" s="91"/>
      <c r="AH230" s="91"/>
      <c r="AI230" s="92">
        <f t="shared" si="912"/>
        <v>0</v>
      </c>
      <c r="AJ230" s="38"/>
      <c r="AK230" s="91"/>
      <c r="AL230" s="91">
        <f>+AL184</f>
        <v>0</v>
      </c>
      <c r="AM230" s="91"/>
      <c r="AN230" s="91"/>
      <c r="AO230" s="92">
        <f t="shared" si="913"/>
        <v>0</v>
      </c>
      <c r="AP230" s="38"/>
      <c r="AQ230" s="91"/>
      <c r="AR230" s="91">
        <f>+AR184</f>
        <v>0</v>
      </c>
      <c r="AS230" s="91"/>
      <c r="AT230" s="91"/>
      <c r="AU230" s="92">
        <f t="shared" si="914"/>
        <v>0</v>
      </c>
      <c r="AV230" s="38"/>
      <c r="AW230" s="91"/>
      <c r="AX230" s="91">
        <f>+AX184</f>
        <v>0</v>
      </c>
      <c r="AY230" s="91"/>
      <c r="AZ230" s="91"/>
      <c r="BA230" s="92">
        <f t="shared" si="915"/>
        <v>0</v>
      </c>
      <c r="BB230" s="38"/>
      <c r="BC230" s="91"/>
      <c r="BD230" s="91">
        <f>+BD184</f>
        <v>0</v>
      </c>
      <c r="BE230" s="91"/>
      <c r="BF230" s="91"/>
      <c r="BG230" s="92">
        <f t="shared" si="916"/>
        <v>0</v>
      </c>
      <c r="BH230" s="38"/>
      <c r="BI230" s="91"/>
      <c r="BJ230" s="91">
        <f>+BJ184</f>
        <v>0</v>
      </c>
      <c r="BK230" s="91"/>
      <c r="BL230" s="91"/>
      <c r="BM230" s="92">
        <f t="shared" si="917"/>
        <v>0</v>
      </c>
      <c r="BN230" s="38"/>
      <c r="BO230" s="91"/>
      <c r="BP230" s="91">
        <f>+BP184</f>
        <v>0</v>
      </c>
      <c r="BQ230" s="91"/>
      <c r="BR230" s="91"/>
      <c r="BS230" s="92">
        <f t="shared" si="918"/>
        <v>0</v>
      </c>
      <c r="BT230" s="38"/>
      <c r="BU230" s="91"/>
      <c r="BV230" s="91">
        <f>+BV184</f>
        <v>0</v>
      </c>
      <c r="BW230" s="91"/>
      <c r="BX230" s="91"/>
      <c r="BY230" s="92">
        <f t="shared" si="919"/>
        <v>0</v>
      </c>
      <c r="BZ230" s="38"/>
      <c r="CA230" s="91"/>
      <c r="CB230" s="91">
        <f>+CB184</f>
        <v>0</v>
      </c>
      <c r="CC230" s="91"/>
      <c r="CD230" s="91"/>
      <c r="CE230" s="92">
        <f t="shared" si="920"/>
        <v>0</v>
      </c>
      <c r="CF230" s="38"/>
      <c r="CG230" s="91"/>
      <c r="CH230" s="91">
        <f>+CH184</f>
        <v>0</v>
      </c>
      <c r="CI230" s="91"/>
      <c r="CJ230" s="91"/>
      <c r="CK230" s="71">
        <f t="shared" si="921"/>
        <v>0</v>
      </c>
      <c r="CL230" s="67">
        <f t="shared" si="922"/>
        <v>0</v>
      </c>
      <c r="CM230" s="67">
        <f t="shared" si="922"/>
        <v>0</v>
      </c>
      <c r="CN230" s="67">
        <f t="shared" si="922"/>
        <v>0</v>
      </c>
      <c r="CO230" s="67">
        <f t="shared" si="922"/>
        <v>0</v>
      </c>
      <c r="CP230" s="67">
        <f t="shared" si="922"/>
        <v>0</v>
      </c>
      <c r="CQ230" s="67">
        <f t="shared" si="922"/>
        <v>0</v>
      </c>
      <c r="CR230" s="37">
        <f t="shared" si="923"/>
        <v>0</v>
      </c>
      <c r="CS230" s="39">
        <f t="shared" si="924"/>
        <v>0</v>
      </c>
      <c r="CT230" s="53">
        <f t="shared" si="925"/>
        <v>0</v>
      </c>
      <c r="CU230" s="39">
        <f t="shared" si="926"/>
        <v>0</v>
      </c>
      <c r="CV230" s="39">
        <f t="shared" si="927"/>
        <v>0</v>
      </c>
      <c r="CW230" s="39">
        <f t="shared" si="928"/>
        <v>0</v>
      </c>
      <c r="CX230" s="39">
        <f t="shared" si="929"/>
        <v>0</v>
      </c>
      <c r="CY230" s="39">
        <f t="shared" si="930"/>
        <v>0</v>
      </c>
      <c r="CZ230" s="39">
        <f t="shared" si="931"/>
        <v>0</v>
      </c>
      <c r="DA230" s="39">
        <f t="shared" si="932"/>
        <v>0</v>
      </c>
      <c r="DB230" s="39">
        <f t="shared" si="933"/>
        <v>0</v>
      </c>
      <c r="DC230" s="39">
        <f t="shared" si="934"/>
        <v>0</v>
      </c>
      <c r="DD230" s="39">
        <f>+HLOOKUP('Reporte Evolución Mensual'!$F$2-2,$CR$2:$DC$251, Input!$DG230, FALSE)</f>
        <v>14998966.49</v>
      </c>
      <c r="DE230" s="39">
        <f>+HLOOKUP('Reporte Evolución Mensual'!$F$2-1,$CR$2:$DC$251, Input!$DG230, FALSE)</f>
        <v>0</v>
      </c>
      <c r="DF230" s="39">
        <f>+HLOOKUP('Reporte Evolución Mensual'!$F$2,$CR$2:$DC$251, Input!$DG230, FALSE)</f>
        <v>0</v>
      </c>
      <c r="DG230" s="40">
        <f t="shared" si="795"/>
        <v>230</v>
      </c>
      <c r="DH230" s="39"/>
      <c r="DI230" s="39"/>
      <c r="DJ230" s="39"/>
      <c r="DK230" s="39"/>
      <c r="DL230" s="39"/>
      <c r="DM230" s="39"/>
      <c r="DN230" s="39"/>
      <c r="DO230" s="58"/>
      <c r="DP230" s="58"/>
      <c r="DQ230" s="58"/>
      <c r="DR230" s="58"/>
      <c r="DS230" s="1"/>
      <c r="DT230" s="1"/>
      <c r="DU230" s="1"/>
      <c r="DV230" s="345" t="s">
        <v>163</v>
      </c>
    </row>
    <row r="231" spans="1:126" ht="15" customHeight="1" x14ac:dyDescent="0.3">
      <c r="A231" s="1" t="str">
        <f t="shared" si="713"/>
        <v>ADIFSE</v>
      </c>
      <c r="B231" s="1" t="str">
        <f t="shared" si="714"/>
        <v>ADIFSE</v>
      </c>
      <c r="C231" s="1" t="str">
        <f t="shared" si="715"/>
        <v>MAY</v>
      </c>
      <c r="D231" s="1" t="s">
        <v>163</v>
      </c>
      <c r="E231" s="113" t="str">
        <f>H231</f>
        <v>Otros</v>
      </c>
      <c r="F231" s="136" t="s">
        <v>280</v>
      </c>
      <c r="G231" s="32" t="s">
        <v>273</v>
      </c>
      <c r="H231" s="32" t="s">
        <v>202</v>
      </c>
      <c r="I231" s="32" t="s">
        <v>202</v>
      </c>
      <c r="J231" s="32" t="s">
        <v>289</v>
      </c>
      <c r="K231" s="38"/>
      <c r="L231" s="34"/>
      <c r="M231" s="34"/>
      <c r="N231" s="34"/>
      <c r="O231" s="38">
        <f>+O184</f>
        <v>0</v>
      </c>
      <c r="P231" s="38"/>
      <c r="Q231" s="35">
        <f t="shared" si="909"/>
        <v>0</v>
      </c>
      <c r="R231" s="34"/>
      <c r="S231" s="34"/>
      <c r="T231" s="34"/>
      <c r="U231" s="38">
        <f>+U184</f>
        <v>0</v>
      </c>
      <c r="V231" s="34"/>
      <c r="W231" s="36">
        <f t="shared" si="910"/>
        <v>0</v>
      </c>
      <c r="X231" s="34"/>
      <c r="Y231" s="34"/>
      <c r="Z231" s="34"/>
      <c r="AA231" s="38">
        <f>+AA184</f>
        <v>15000249.33</v>
      </c>
      <c r="AB231" s="34"/>
      <c r="AC231" s="36">
        <f t="shared" si="911"/>
        <v>15000249.33</v>
      </c>
      <c r="AD231" s="34"/>
      <c r="AE231" s="34"/>
      <c r="AF231" s="34"/>
      <c r="AG231" s="38">
        <f>+AG184</f>
        <v>14998966.49</v>
      </c>
      <c r="AH231" s="34"/>
      <c r="AI231" s="36">
        <f t="shared" si="912"/>
        <v>14998966.49</v>
      </c>
      <c r="AJ231" s="34"/>
      <c r="AK231" s="34"/>
      <c r="AL231" s="34"/>
      <c r="AM231" s="38">
        <f>+AM184</f>
        <v>0</v>
      </c>
      <c r="AN231" s="34"/>
      <c r="AO231" s="36">
        <f t="shared" si="913"/>
        <v>0</v>
      </c>
      <c r="AP231" s="34"/>
      <c r="AQ231" s="34"/>
      <c r="AR231" s="34"/>
      <c r="AS231" s="38">
        <f>+AS184</f>
        <v>0</v>
      </c>
      <c r="AT231" s="34"/>
      <c r="AU231" s="36">
        <f t="shared" si="914"/>
        <v>0</v>
      </c>
      <c r="AV231" s="34"/>
      <c r="AW231" s="34"/>
      <c r="AX231" s="34"/>
      <c r="AY231" s="38">
        <f>+AY184</f>
        <v>0</v>
      </c>
      <c r="AZ231" s="34"/>
      <c r="BA231" s="36">
        <f t="shared" si="915"/>
        <v>0</v>
      </c>
      <c r="BB231" s="34"/>
      <c r="BC231" s="34"/>
      <c r="BD231" s="34"/>
      <c r="BE231" s="38">
        <f>+BE184</f>
        <v>0</v>
      </c>
      <c r="BF231" s="34"/>
      <c r="BG231" s="36">
        <f t="shared" si="916"/>
        <v>0</v>
      </c>
      <c r="BH231" s="34"/>
      <c r="BI231" s="34"/>
      <c r="BJ231" s="34"/>
      <c r="BK231" s="38">
        <f>+BK184</f>
        <v>0</v>
      </c>
      <c r="BL231" s="34"/>
      <c r="BM231" s="36">
        <f t="shared" si="917"/>
        <v>0</v>
      </c>
      <c r="BN231" s="34"/>
      <c r="BO231" s="34"/>
      <c r="BP231" s="34"/>
      <c r="BQ231" s="38">
        <f>+BQ184</f>
        <v>0</v>
      </c>
      <c r="BR231" s="34"/>
      <c r="BS231" s="36">
        <f t="shared" si="918"/>
        <v>0</v>
      </c>
      <c r="BT231" s="34"/>
      <c r="BU231" s="34"/>
      <c r="BV231" s="34"/>
      <c r="BW231" s="38">
        <f>+BW184</f>
        <v>0</v>
      </c>
      <c r="BX231" s="34"/>
      <c r="BY231" s="36">
        <f t="shared" si="919"/>
        <v>0</v>
      </c>
      <c r="BZ231" s="34"/>
      <c r="CA231" s="34"/>
      <c r="CB231" s="34"/>
      <c r="CC231" s="38">
        <f>+CC184</f>
        <v>0</v>
      </c>
      <c r="CD231" s="34"/>
      <c r="CE231" s="36">
        <f t="shared" si="920"/>
        <v>0</v>
      </c>
      <c r="CF231" s="34"/>
      <c r="CG231" s="34"/>
      <c r="CH231" s="34"/>
      <c r="CI231" s="38">
        <f>+CI184</f>
        <v>0</v>
      </c>
      <c r="CJ231" s="34"/>
      <c r="CK231" s="71">
        <f t="shared" si="921"/>
        <v>0</v>
      </c>
      <c r="CL231" s="67">
        <f t="shared" si="922"/>
        <v>0</v>
      </c>
      <c r="CM231" s="67">
        <f t="shared" si="922"/>
        <v>0</v>
      </c>
      <c r="CN231" s="67">
        <f t="shared" si="922"/>
        <v>0</v>
      </c>
      <c r="CO231" s="67">
        <f t="shared" si="922"/>
        <v>29999215.82</v>
      </c>
      <c r="CP231" s="67">
        <f t="shared" si="922"/>
        <v>0</v>
      </c>
      <c r="CQ231" s="67">
        <f t="shared" si="922"/>
        <v>29999215.82</v>
      </c>
      <c r="CR231" s="37">
        <f t="shared" si="923"/>
        <v>0</v>
      </c>
      <c r="CS231" s="39">
        <f t="shared" si="924"/>
        <v>15000249.33</v>
      </c>
      <c r="CT231" s="53">
        <f t="shared" si="925"/>
        <v>14998966.49</v>
      </c>
      <c r="CU231" s="39">
        <f t="shared" si="926"/>
        <v>0</v>
      </c>
      <c r="CV231" s="39">
        <f t="shared" si="927"/>
        <v>0</v>
      </c>
      <c r="CW231" s="39">
        <f t="shared" si="928"/>
        <v>0</v>
      </c>
      <c r="CX231" s="39">
        <f t="shared" si="929"/>
        <v>0</v>
      </c>
      <c r="CY231" s="39">
        <f t="shared" si="930"/>
        <v>0</v>
      </c>
      <c r="CZ231" s="39">
        <f t="shared" si="931"/>
        <v>0</v>
      </c>
      <c r="DA231" s="39">
        <f t="shared" si="932"/>
        <v>0</v>
      </c>
      <c r="DB231" s="39">
        <f t="shared" si="933"/>
        <v>0</v>
      </c>
      <c r="DC231" s="39">
        <f t="shared" si="934"/>
        <v>0</v>
      </c>
      <c r="DD231" s="39">
        <f>+HLOOKUP('Reporte Evolución Mensual'!$F$2-2,$CR$2:$DC$251, Input!$DG231, FALSE)</f>
        <v>0</v>
      </c>
      <c r="DE231" s="39">
        <f>+HLOOKUP('Reporte Evolución Mensual'!$F$2-1,$CR$2:$DC$251, Input!$DG231, FALSE)</f>
        <v>0</v>
      </c>
      <c r="DF231" s="39">
        <f>+HLOOKUP('Reporte Evolución Mensual'!$F$2,$CR$2:$DC$251, Input!$DG231, FALSE)</f>
        <v>0</v>
      </c>
      <c r="DG231" s="40">
        <f t="shared" si="795"/>
        <v>231</v>
      </c>
      <c r="DH231" s="39"/>
      <c r="DI231" s="39"/>
      <c r="DJ231" s="39"/>
      <c r="DK231" s="39"/>
      <c r="DL231" s="39"/>
      <c r="DM231" s="39"/>
      <c r="DN231" s="39"/>
      <c r="DO231" s="58"/>
      <c r="DP231" s="58"/>
      <c r="DQ231" s="58"/>
      <c r="DR231" s="58"/>
      <c r="DS231" s="1"/>
      <c r="DT231" s="1"/>
      <c r="DU231" s="1"/>
      <c r="DV231" s="345" t="s">
        <v>108</v>
      </c>
    </row>
    <row r="232" spans="1:126" ht="15" customHeight="1" x14ac:dyDescent="0.3">
      <c r="A232" s="1" t="str">
        <f t="shared" si="713"/>
        <v>ADIFSE</v>
      </c>
      <c r="B232" s="1" t="str">
        <f t="shared" si="714"/>
        <v>ADIFSE</v>
      </c>
      <c r="C232" s="1" t="str">
        <f t="shared" si="715"/>
        <v>MAY</v>
      </c>
      <c r="D232" s="1" t="s">
        <v>163</v>
      </c>
      <c r="E232" s="113" t="str">
        <f>H232</f>
        <v>Credito Externo</v>
      </c>
      <c r="F232" s="136" t="s">
        <v>281</v>
      </c>
      <c r="G232" s="32" t="s">
        <v>273</v>
      </c>
      <c r="H232" s="32" t="s">
        <v>282</v>
      </c>
      <c r="I232" s="32" t="s">
        <v>282</v>
      </c>
      <c r="J232" s="32" t="s">
        <v>289</v>
      </c>
      <c r="K232" s="38"/>
      <c r="L232" s="34"/>
      <c r="M232" s="34"/>
      <c r="N232" s="34"/>
      <c r="O232" s="34"/>
      <c r="P232" s="34">
        <f>+P184</f>
        <v>0</v>
      </c>
      <c r="Q232" s="35">
        <f t="shared" si="909"/>
        <v>0</v>
      </c>
      <c r="R232" s="34"/>
      <c r="S232" s="34"/>
      <c r="T232" s="34"/>
      <c r="U232" s="34"/>
      <c r="V232" s="38">
        <f>+V184</f>
        <v>0</v>
      </c>
      <c r="W232" s="36">
        <f t="shared" si="910"/>
        <v>0</v>
      </c>
      <c r="X232" s="34"/>
      <c r="Y232" s="34"/>
      <c r="Z232" s="34"/>
      <c r="AA232" s="34"/>
      <c r="AB232" s="38">
        <f>+AB184</f>
        <v>0</v>
      </c>
      <c r="AC232" s="36">
        <f t="shared" si="911"/>
        <v>0</v>
      </c>
      <c r="AD232" s="34"/>
      <c r="AE232" s="34"/>
      <c r="AF232" s="34"/>
      <c r="AG232" s="34"/>
      <c r="AH232" s="38">
        <f>+AH184</f>
        <v>0</v>
      </c>
      <c r="AI232" s="36">
        <f t="shared" si="912"/>
        <v>0</v>
      </c>
      <c r="AJ232" s="34"/>
      <c r="AK232" s="34"/>
      <c r="AL232" s="34"/>
      <c r="AM232" s="34"/>
      <c r="AN232" s="38">
        <f>+AN184</f>
        <v>0</v>
      </c>
      <c r="AO232" s="36">
        <f t="shared" si="913"/>
        <v>0</v>
      </c>
      <c r="AP232" s="34"/>
      <c r="AQ232" s="34"/>
      <c r="AR232" s="34"/>
      <c r="AS232" s="34"/>
      <c r="AT232" s="38">
        <f>+AT184</f>
        <v>0</v>
      </c>
      <c r="AU232" s="36">
        <f t="shared" si="914"/>
        <v>0</v>
      </c>
      <c r="AV232" s="34"/>
      <c r="AW232" s="34"/>
      <c r="AX232" s="34"/>
      <c r="AY232" s="34"/>
      <c r="AZ232" s="38">
        <f>+AZ184</f>
        <v>0</v>
      </c>
      <c r="BA232" s="36">
        <f t="shared" si="915"/>
        <v>0</v>
      </c>
      <c r="BB232" s="34"/>
      <c r="BC232" s="34"/>
      <c r="BD232" s="34"/>
      <c r="BE232" s="34"/>
      <c r="BF232" s="38">
        <f>+BF184</f>
        <v>0</v>
      </c>
      <c r="BG232" s="36">
        <f t="shared" si="916"/>
        <v>0</v>
      </c>
      <c r="BH232" s="34"/>
      <c r="BI232" s="34"/>
      <c r="BJ232" s="34"/>
      <c r="BK232" s="34"/>
      <c r="BL232" s="38">
        <f>+BL184</f>
        <v>0</v>
      </c>
      <c r="BM232" s="36">
        <f t="shared" si="917"/>
        <v>0</v>
      </c>
      <c r="BN232" s="34"/>
      <c r="BO232" s="34"/>
      <c r="BP232" s="34"/>
      <c r="BQ232" s="34"/>
      <c r="BR232" s="38">
        <f>+BR184</f>
        <v>0</v>
      </c>
      <c r="BS232" s="36">
        <f t="shared" si="918"/>
        <v>0</v>
      </c>
      <c r="BT232" s="34"/>
      <c r="BU232" s="34"/>
      <c r="BV232" s="34"/>
      <c r="BW232" s="34"/>
      <c r="BX232" s="38">
        <f>+BX184</f>
        <v>0</v>
      </c>
      <c r="BY232" s="36">
        <f t="shared" si="919"/>
        <v>0</v>
      </c>
      <c r="BZ232" s="34"/>
      <c r="CA232" s="34"/>
      <c r="CB232" s="34"/>
      <c r="CC232" s="34"/>
      <c r="CD232" s="38">
        <f>+CD184</f>
        <v>0</v>
      </c>
      <c r="CE232" s="36">
        <f t="shared" si="920"/>
        <v>0</v>
      </c>
      <c r="CF232" s="34"/>
      <c r="CG232" s="34"/>
      <c r="CH232" s="34"/>
      <c r="CI232" s="34"/>
      <c r="CJ232" s="38">
        <f>+CJ184</f>
        <v>0</v>
      </c>
      <c r="CK232" s="71">
        <f t="shared" si="921"/>
        <v>0</v>
      </c>
      <c r="CL232" s="67">
        <f t="shared" si="922"/>
        <v>0</v>
      </c>
      <c r="CM232" s="67">
        <f t="shared" si="922"/>
        <v>0</v>
      </c>
      <c r="CN232" s="67">
        <f t="shared" si="922"/>
        <v>0</v>
      </c>
      <c r="CO232" s="67">
        <f t="shared" si="922"/>
        <v>0</v>
      </c>
      <c r="CP232" s="67">
        <f t="shared" si="922"/>
        <v>0</v>
      </c>
      <c r="CQ232" s="67">
        <f t="shared" si="922"/>
        <v>0</v>
      </c>
      <c r="CR232" s="37">
        <f t="shared" si="923"/>
        <v>0</v>
      </c>
      <c r="CS232" s="39">
        <f t="shared" si="924"/>
        <v>0</v>
      </c>
      <c r="CT232" s="53">
        <f t="shared" si="925"/>
        <v>0</v>
      </c>
      <c r="CU232" s="39">
        <f t="shared" si="926"/>
        <v>0</v>
      </c>
      <c r="CV232" s="39">
        <f t="shared" si="927"/>
        <v>0</v>
      </c>
      <c r="CW232" s="39">
        <f t="shared" si="928"/>
        <v>0</v>
      </c>
      <c r="CX232" s="39">
        <f t="shared" si="929"/>
        <v>0</v>
      </c>
      <c r="CY232" s="39">
        <f t="shared" si="930"/>
        <v>0</v>
      </c>
      <c r="CZ232" s="39">
        <f t="shared" si="931"/>
        <v>0</v>
      </c>
      <c r="DA232" s="39">
        <f t="shared" si="932"/>
        <v>0</v>
      </c>
      <c r="DB232" s="39">
        <f t="shared" si="933"/>
        <v>0</v>
      </c>
      <c r="DC232" s="39">
        <f t="shared" si="934"/>
        <v>0</v>
      </c>
      <c r="DD232" s="39">
        <f>+HLOOKUP('Reporte Evolución Mensual'!$F$2-2,$CR$2:$DC$251, Input!$DG232, FALSE)</f>
        <v>56814497.700000003</v>
      </c>
      <c r="DE232" s="39">
        <f>+HLOOKUP('Reporte Evolución Mensual'!$F$2-1,$CR$2:$DC$251, Input!$DG232, FALSE)</f>
        <v>56508375.13000001</v>
      </c>
      <c r="DF232" s="39">
        <f>+HLOOKUP('Reporte Evolución Mensual'!$F$2,$CR$2:$DC$251, Input!$DG232, FALSE)</f>
        <v>53487162.529999994</v>
      </c>
      <c r="DG232" s="40">
        <f t="shared" si="795"/>
        <v>232</v>
      </c>
      <c r="DH232" s="39"/>
      <c r="DI232" s="39"/>
      <c r="DJ232" s="39"/>
      <c r="DK232" s="39"/>
      <c r="DL232" s="39"/>
      <c r="DM232" s="39"/>
      <c r="DN232" s="39"/>
      <c r="DO232" s="58"/>
      <c r="DP232" s="58"/>
      <c r="DQ232" s="58"/>
      <c r="DR232" s="58"/>
      <c r="DS232" s="1"/>
      <c r="DT232" s="1"/>
      <c r="DU232" s="1"/>
      <c r="DV232" s="345" t="s">
        <v>163</v>
      </c>
    </row>
    <row r="233" spans="1:126" ht="15" customHeight="1" x14ac:dyDescent="0.3">
      <c r="A233" s="1" t="str">
        <f t="shared" si="713"/>
        <v>ADIFSE</v>
      </c>
      <c r="B233" s="1" t="str">
        <f t="shared" si="714"/>
        <v>ADIFSE</v>
      </c>
      <c r="C233" s="1" t="str">
        <f t="shared" si="715"/>
        <v>MAY</v>
      </c>
      <c r="D233" s="41" t="s">
        <v>108</v>
      </c>
      <c r="E233" s="117" t="str">
        <f>CONCATENATE(G233," - ",I233)</f>
        <v>Financiamiento Gastos Corrientes - Total</v>
      </c>
      <c r="F233" s="116"/>
      <c r="G233" s="32" t="s">
        <v>273</v>
      </c>
      <c r="H233" s="32" t="s">
        <v>173</v>
      </c>
      <c r="I233" s="32" t="s">
        <v>173</v>
      </c>
      <c r="J233" s="32" t="s">
        <v>289</v>
      </c>
      <c r="K233" s="46"/>
      <c r="L233" s="46">
        <f t="shared" ref="L233:P233" si="935">SUM(L228:L232)</f>
        <v>0</v>
      </c>
      <c r="M233" s="46">
        <f t="shared" si="935"/>
        <v>0</v>
      </c>
      <c r="N233" s="46">
        <f t="shared" si="935"/>
        <v>0</v>
      </c>
      <c r="O233" s="46">
        <f t="shared" si="935"/>
        <v>0</v>
      </c>
      <c r="P233" s="46">
        <f t="shared" si="935"/>
        <v>0</v>
      </c>
      <c r="Q233" s="56">
        <f t="shared" si="909"/>
        <v>0</v>
      </c>
      <c r="R233" s="46">
        <f t="shared" ref="R233:V233" si="936">SUM(R228:R232)</f>
        <v>44168000</v>
      </c>
      <c r="S233" s="46">
        <f t="shared" si="936"/>
        <v>7628000</v>
      </c>
      <c r="T233" s="46">
        <f t="shared" si="936"/>
        <v>0</v>
      </c>
      <c r="U233" s="46">
        <f t="shared" si="936"/>
        <v>0</v>
      </c>
      <c r="V233" s="46">
        <f t="shared" si="936"/>
        <v>0</v>
      </c>
      <c r="W233" s="86">
        <f t="shared" si="910"/>
        <v>51796000</v>
      </c>
      <c r="X233" s="46">
        <f t="shared" ref="X233:AB233" si="937">SUM(X228:X232)</f>
        <v>45380000</v>
      </c>
      <c r="Y233" s="46">
        <f t="shared" si="937"/>
        <v>0</v>
      </c>
      <c r="Z233" s="46">
        <f t="shared" si="937"/>
        <v>0</v>
      </c>
      <c r="AA233" s="46">
        <f t="shared" si="937"/>
        <v>15000249.33</v>
      </c>
      <c r="AB233" s="46">
        <f t="shared" si="937"/>
        <v>0</v>
      </c>
      <c r="AC233" s="86">
        <f t="shared" si="911"/>
        <v>60380249.329999998</v>
      </c>
      <c r="AD233" s="46">
        <f t="shared" ref="AD233:AH233" si="938">SUM(AD228:AD232)</f>
        <v>41815531.210000001</v>
      </c>
      <c r="AE233" s="46">
        <f t="shared" si="938"/>
        <v>0</v>
      </c>
      <c r="AF233" s="46">
        <f t="shared" si="938"/>
        <v>0</v>
      </c>
      <c r="AG233" s="46">
        <f t="shared" si="938"/>
        <v>14998966.49</v>
      </c>
      <c r="AH233" s="46">
        <f t="shared" si="938"/>
        <v>0</v>
      </c>
      <c r="AI233" s="86">
        <f t="shared" si="912"/>
        <v>56814497.700000003</v>
      </c>
      <c r="AJ233" s="46">
        <f t="shared" ref="AJ233:AN233" si="939">SUM(AJ228:AJ232)</f>
        <v>56508375.13000001</v>
      </c>
      <c r="AK233" s="46">
        <f t="shared" si="939"/>
        <v>0</v>
      </c>
      <c r="AL233" s="46">
        <f t="shared" si="939"/>
        <v>0</v>
      </c>
      <c r="AM233" s="46">
        <f t="shared" si="939"/>
        <v>0</v>
      </c>
      <c r="AN233" s="46">
        <f t="shared" si="939"/>
        <v>0</v>
      </c>
      <c r="AO233" s="86">
        <f t="shared" si="913"/>
        <v>56508375.13000001</v>
      </c>
      <c r="AP233" s="46">
        <f t="shared" ref="AP233:AT233" si="940">SUM(AP228:AP232)</f>
        <v>53487162.529999994</v>
      </c>
      <c r="AQ233" s="46">
        <f t="shared" si="940"/>
        <v>0</v>
      </c>
      <c r="AR233" s="46">
        <f t="shared" si="940"/>
        <v>0</v>
      </c>
      <c r="AS233" s="46">
        <f t="shared" si="940"/>
        <v>0</v>
      </c>
      <c r="AT233" s="46">
        <f t="shared" si="940"/>
        <v>0</v>
      </c>
      <c r="AU233" s="86">
        <f t="shared" si="914"/>
        <v>53487162.529999994</v>
      </c>
      <c r="AV233" s="46">
        <f t="shared" ref="AV233:AZ233" si="941">SUM(AV228:AV232)</f>
        <v>0</v>
      </c>
      <c r="AW233" s="46">
        <f t="shared" si="941"/>
        <v>0</v>
      </c>
      <c r="AX233" s="46">
        <f t="shared" si="941"/>
        <v>0</v>
      </c>
      <c r="AY233" s="46">
        <f t="shared" si="941"/>
        <v>0</v>
      </c>
      <c r="AZ233" s="46">
        <f t="shared" si="941"/>
        <v>0</v>
      </c>
      <c r="BA233" s="86">
        <f t="shared" si="915"/>
        <v>0</v>
      </c>
      <c r="BB233" s="46">
        <f t="shared" ref="BB233:BF233" si="942">SUM(BB228:BB232)</f>
        <v>0</v>
      </c>
      <c r="BC233" s="46">
        <f t="shared" si="942"/>
        <v>0</v>
      </c>
      <c r="BD233" s="46">
        <f t="shared" si="942"/>
        <v>0</v>
      </c>
      <c r="BE233" s="46">
        <f t="shared" si="942"/>
        <v>0</v>
      </c>
      <c r="BF233" s="46">
        <f t="shared" si="942"/>
        <v>0</v>
      </c>
      <c r="BG233" s="86">
        <f t="shared" si="916"/>
        <v>0</v>
      </c>
      <c r="BH233" s="46">
        <f t="shared" ref="BH233:BL233" si="943">SUM(BH228:BH232)</f>
        <v>0</v>
      </c>
      <c r="BI233" s="46">
        <f t="shared" si="943"/>
        <v>0</v>
      </c>
      <c r="BJ233" s="46">
        <f t="shared" si="943"/>
        <v>0</v>
      </c>
      <c r="BK233" s="46">
        <f t="shared" si="943"/>
        <v>0</v>
      </c>
      <c r="BL233" s="46">
        <f t="shared" si="943"/>
        <v>0</v>
      </c>
      <c r="BM233" s="86">
        <f t="shared" si="917"/>
        <v>0</v>
      </c>
      <c r="BN233" s="46">
        <f t="shared" ref="BN233:BR233" si="944">SUM(BN228:BN232)</f>
        <v>0</v>
      </c>
      <c r="BO233" s="46">
        <f t="shared" si="944"/>
        <v>0</v>
      </c>
      <c r="BP233" s="46">
        <f t="shared" si="944"/>
        <v>0</v>
      </c>
      <c r="BQ233" s="46">
        <f t="shared" si="944"/>
        <v>0</v>
      </c>
      <c r="BR233" s="46">
        <f t="shared" si="944"/>
        <v>0</v>
      </c>
      <c r="BS233" s="86">
        <f t="shared" si="918"/>
        <v>0</v>
      </c>
      <c r="BT233" s="46">
        <f t="shared" ref="BT233:BX233" si="945">SUM(BT228:BT232)</f>
        <v>0</v>
      </c>
      <c r="BU233" s="46">
        <f t="shared" si="945"/>
        <v>0</v>
      </c>
      <c r="BV233" s="46">
        <f t="shared" si="945"/>
        <v>0</v>
      </c>
      <c r="BW233" s="46">
        <f t="shared" si="945"/>
        <v>0</v>
      </c>
      <c r="BX233" s="46">
        <f t="shared" si="945"/>
        <v>0</v>
      </c>
      <c r="BY233" s="86">
        <f t="shared" si="919"/>
        <v>0</v>
      </c>
      <c r="BZ233" s="46">
        <f t="shared" ref="BZ233:CD233" si="946">SUM(BZ228:BZ232)</f>
        <v>0</v>
      </c>
      <c r="CA233" s="46">
        <f t="shared" si="946"/>
        <v>0</v>
      </c>
      <c r="CB233" s="46">
        <f t="shared" si="946"/>
        <v>0</v>
      </c>
      <c r="CC233" s="46">
        <f t="shared" si="946"/>
        <v>0</v>
      </c>
      <c r="CD233" s="46">
        <f t="shared" si="946"/>
        <v>0</v>
      </c>
      <c r="CE233" s="86">
        <f t="shared" si="920"/>
        <v>0</v>
      </c>
      <c r="CF233" s="46">
        <f t="shared" ref="CF233:CJ233" si="947">SUM(CF228:CF232)</f>
        <v>0</v>
      </c>
      <c r="CG233" s="46">
        <f t="shared" si="947"/>
        <v>0</v>
      </c>
      <c r="CH233" s="46">
        <f t="shared" si="947"/>
        <v>0</v>
      </c>
      <c r="CI233" s="46">
        <f t="shared" si="947"/>
        <v>0</v>
      </c>
      <c r="CJ233" s="46">
        <f t="shared" si="947"/>
        <v>0</v>
      </c>
      <c r="CK233" s="86">
        <f t="shared" si="921"/>
        <v>0</v>
      </c>
      <c r="CL233" s="56">
        <f t="shared" si="922"/>
        <v>241359068.87000003</v>
      </c>
      <c r="CM233" s="56">
        <f t="shared" si="922"/>
        <v>7628000</v>
      </c>
      <c r="CN233" s="56">
        <f t="shared" si="922"/>
        <v>0</v>
      </c>
      <c r="CO233" s="56">
        <f t="shared" si="922"/>
        <v>29999215.82</v>
      </c>
      <c r="CP233" s="56">
        <f t="shared" si="922"/>
        <v>0</v>
      </c>
      <c r="CQ233" s="56">
        <f t="shared" si="922"/>
        <v>278986284.69</v>
      </c>
      <c r="CR233" s="37">
        <f t="shared" si="923"/>
        <v>51796000</v>
      </c>
      <c r="CS233" s="39">
        <f t="shared" si="924"/>
        <v>60380249.329999998</v>
      </c>
      <c r="CT233" s="53">
        <f t="shared" si="925"/>
        <v>56814497.700000003</v>
      </c>
      <c r="CU233" s="39">
        <f t="shared" si="926"/>
        <v>56508375.13000001</v>
      </c>
      <c r="CV233" s="39">
        <f t="shared" si="927"/>
        <v>53487162.529999994</v>
      </c>
      <c r="CW233" s="39">
        <f t="shared" si="928"/>
        <v>0</v>
      </c>
      <c r="CX233" s="39">
        <f t="shared" si="929"/>
        <v>0</v>
      </c>
      <c r="CY233" s="39">
        <f t="shared" si="930"/>
        <v>0</v>
      </c>
      <c r="CZ233" s="39">
        <f t="shared" si="931"/>
        <v>0</v>
      </c>
      <c r="DA233" s="39">
        <f t="shared" si="932"/>
        <v>0</v>
      </c>
      <c r="DB233" s="39">
        <f t="shared" si="933"/>
        <v>0</v>
      </c>
      <c r="DC233" s="39">
        <f t="shared" si="934"/>
        <v>0</v>
      </c>
      <c r="DD233" s="39">
        <f>+HLOOKUP('Reporte Evolución Mensual'!$F$2-2,$CR$2:$DC$251, Input!$DG233, FALSE)</f>
        <v>0</v>
      </c>
      <c r="DE233" s="39">
        <f>+HLOOKUP('Reporte Evolución Mensual'!$F$2-1,$CR$2:$DC$251, Input!$DG233, FALSE)</f>
        <v>0</v>
      </c>
      <c r="DF233" s="39">
        <f>+HLOOKUP('Reporte Evolución Mensual'!$F$2,$CR$2:$DC$251, Input!$DG233, FALSE)</f>
        <v>0</v>
      </c>
      <c r="DG233" s="40">
        <f t="shared" si="795"/>
        <v>233</v>
      </c>
      <c r="DH233" s="39"/>
      <c r="DI233" s="39"/>
      <c r="DJ233" s="39"/>
      <c r="DK233" s="39"/>
      <c r="DL233" s="39"/>
      <c r="DM233" s="39"/>
      <c r="DN233" s="39"/>
      <c r="DO233" s="58"/>
      <c r="DP233" s="58"/>
      <c r="DQ233" s="58"/>
      <c r="DR233" s="58"/>
      <c r="DS233" s="41"/>
      <c r="DT233" s="41"/>
      <c r="DU233" s="41"/>
      <c r="DV233" s="345" t="s">
        <v>163</v>
      </c>
    </row>
    <row r="234" spans="1:126" ht="15" customHeight="1" x14ac:dyDescent="0.3">
      <c r="A234" s="1" t="str">
        <f t="shared" si="713"/>
        <v>ADIFSE</v>
      </c>
      <c r="B234" s="1" t="str">
        <f t="shared" si="714"/>
        <v>ADIFSE</v>
      </c>
      <c r="C234" s="1" t="str">
        <f t="shared" si="715"/>
        <v>MAY</v>
      </c>
      <c r="D234" s="1" t="s">
        <v>108</v>
      </c>
      <c r="E234" s="117" t="s">
        <v>333</v>
      </c>
      <c r="F234" s="116"/>
      <c r="G234" s="32"/>
      <c r="H234" s="32"/>
      <c r="I234" s="32"/>
      <c r="J234" s="32"/>
      <c r="K234" s="38"/>
      <c r="L234" s="38"/>
      <c r="M234" s="38"/>
      <c r="N234" s="38"/>
      <c r="O234" s="38"/>
      <c r="P234" s="38"/>
      <c r="Q234" s="67"/>
      <c r="R234" s="38"/>
      <c r="S234" s="38"/>
      <c r="T234" s="38"/>
      <c r="U234" s="38"/>
      <c r="V234" s="38"/>
      <c r="W234" s="71"/>
      <c r="X234" s="38"/>
      <c r="Y234" s="38"/>
      <c r="Z234" s="38"/>
      <c r="AA234" s="38"/>
      <c r="AB234" s="38"/>
      <c r="AC234" s="71"/>
      <c r="AD234" s="38"/>
      <c r="AE234" s="38"/>
      <c r="AF234" s="38"/>
      <c r="AG234" s="38"/>
      <c r="AH234" s="38"/>
      <c r="AI234" s="71"/>
      <c r="AJ234" s="38"/>
      <c r="AK234" s="38"/>
      <c r="AL234" s="38"/>
      <c r="AM234" s="38"/>
      <c r="AN234" s="38"/>
      <c r="AO234" s="71"/>
      <c r="AP234" s="38"/>
      <c r="AQ234" s="38"/>
      <c r="AR234" s="38"/>
      <c r="AS234" s="38"/>
      <c r="AT234" s="38"/>
      <c r="AU234" s="71"/>
      <c r="AV234" s="38"/>
      <c r="AW234" s="38"/>
      <c r="AX234" s="38"/>
      <c r="AY234" s="38"/>
      <c r="AZ234" s="38"/>
      <c r="BA234" s="71"/>
      <c r="BB234" s="38"/>
      <c r="BC234" s="38"/>
      <c r="BD234" s="38"/>
      <c r="BE234" s="38"/>
      <c r="BF234" s="38"/>
      <c r="BG234" s="71"/>
      <c r="BH234" s="38"/>
      <c r="BI234" s="38"/>
      <c r="BJ234" s="38"/>
      <c r="BK234" s="38"/>
      <c r="BL234" s="38"/>
      <c r="BM234" s="71"/>
      <c r="BN234" s="38"/>
      <c r="BO234" s="38"/>
      <c r="BP234" s="38"/>
      <c r="BQ234" s="38"/>
      <c r="BR234" s="38"/>
      <c r="BS234" s="71"/>
      <c r="BT234" s="38"/>
      <c r="BU234" s="38"/>
      <c r="BV234" s="38"/>
      <c r="BW234" s="38"/>
      <c r="BX234" s="38"/>
      <c r="BY234" s="71"/>
      <c r="BZ234" s="38"/>
      <c r="CA234" s="38"/>
      <c r="CB234" s="38"/>
      <c r="CC234" s="38"/>
      <c r="CD234" s="38"/>
      <c r="CE234" s="71"/>
      <c r="CF234" s="38"/>
      <c r="CG234" s="38"/>
      <c r="CH234" s="38"/>
      <c r="CI234" s="38"/>
      <c r="CJ234" s="38"/>
      <c r="CK234" s="71"/>
      <c r="CL234" s="67"/>
      <c r="CM234" s="67"/>
      <c r="CN234" s="67"/>
      <c r="CO234" s="67"/>
      <c r="CP234" s="67"/>
      <c r="CQ234" s="67"/>
      <c r="CR234" s="37"/>
      <c r="CS234" s="39"/>
      <c r="CT234" s="53"/>
      <c r="CU234" s="39"/>
      <c r="CV234" s="39"/>
      <c r="CW234" s="39"/>
      <c r="CX234" s="39"/>
      <c r="CY234" s="39"/>
      <c r="CZ234" s="39"/>
      <c r="DA234" s="39"/>
      <c r="DB234" s="39"/>
      <c r="DC234" s="39"/>
      <c r="DD234" s="39">
        <f>+HLOOKUP('Reporte Evolución Mensual'!$F$2-2,$CR$2:$DC$251, Input!$DG234, FALSE)</f>
        <v>0</v>
      </c>
      <c r="DE234" s="39">
        <f>+HLOOKUP('Reporte Evolución Mensual'!$F$2-1,$CR$2:$DC$251, Input!$DG234, FALSE)</f>
        <v>0</v>
      </c>
      <c r="DF234" s="39">
        <f>+HLOOKUP('Reporte Evolución Mensual'!$F$2,$CR$2:$DC$251, Input!$DG234, FALSE)</f>
        <v>0</v>
      </c>
      <c r="DG234" s="40">
        <f t="shared" si="795"/>
        <v>234</v>
      </c>
      <c r="DH234" s="39"/>
      <c r="DI234" s="39"/>
      <c r="DJ234" s="39"/>
      <c r="DK234" s="39"/>
      <c r="DL234" s="39"/>
      <c r="DM234" s="39"/>
      <c r="DN234" s="39"/>
      <c r="DO234" s="58"/>
      <c r="DP234" s="58"/>
      <c r="DQ234" s="58"/>
      <c r="DR234" s="58"/>
      <c r="DS234" s="1"/>
      <c r="DT234" s="1"/>
      <c r="DU234" s="1"/>
      <c r="DV234" s="345"/>
    </row>
    <row r="235" spans="1:126" ht="15" customHeight="1" x14ac:dyDescent="0.3">
      <c r="A235" s="1" t="str">
        <f t="shared" si="713"/>
        <v>ADIFSE</v>
      </c>
      <c r="B235" s="1" t="str">
        <f t="shared" si="714"/>
        <v>ADIFSE</v>
      </c>
      <c r="C235" s="1" t="str">
        <f t="shared" si="715"/>
        <v>MAY</v>
      </c>
      <c r="D235" s="1" t="s">
        <v>108</v>
      </c>
      <c r="E235" s="134" t="str">
        <f>G236</f>
        <v xml:space="preserve">Financiamiento Egresos de Capital </v>
      </c>
      <c r="F235" s="135"/>
      <c r="G235" s="32"/>
      <c r="H235" s="32"/>
      <c r="I235" s="32"/>
      <c r="J235" s="32"/>
      <c r="K235" s="38"/>
      <c r="L235" s="38"/>
      <c r="M235" s="38"/>
      <c r="N235" s="38"/>
      <c r="O235" s="38"/>
      <c r="P235" s="38"/>
      <c r="Q235" s="67"/>
      <c r="R235" s="38"/>
      <c r="S235" s="38"/>
      <c r="T235" s="38"/>
      <c r="U235" s="38"/>
      <c r="V235" s="38"/>
      <c r="W235" s="71"/>
      <c r="X235" s="38"/>
      <c r="Y235" s="38"/>
      <c r="Z235" s="38"/>
      <c r="AA235" s="38"/>
      <c r="AB235" s="38"/>
      <c r="AC235" s="71"/>
      <c r="AD235" s="38"/>
      <c r="AE235" s="38"/>
      <c r="AF235" s="38"/>
      <c r="AG235" s="38"/>
      <c r="AH235" s="38"/>
      <c r="AI235" s="71"/>
      <c r="AJ235" s="38"/>
      <c r="AK235" s="38"/>
      <c r="AL235" s="38"/>
      <c r="AM235" s="38"/>
      <c r="AN235" s="38"/>
      <c r="AO235" s="71"/>
      <c r="AP235" s="38"/>
      <c r="AQ235" s="38"/>
      <c r="AR235" s="38"/>
      <c r="AS235" s="38"/>
      <c r="AT235" s="38"/>
      <c r="AU235" s="71"/>
      <c r="AV235" s="38"/>
      <c r="AW235" s="38"/>
      <c r="AX235" s="38"/>
      <c r="AY235" s="38"/>
      <c r="AZ235" s="38"/>
      <c r="BA235" s="71"/>
      <c r="BB235" s="38"/>
      <c r="BC235" s="38"/>
      <c r="BD235" s="38"/>
      <c r="BE235" s="38"/>
      <c r="BF235" s="38"/>
      <c r="BG235" s="71"/>
      <c r="BH235" s="38"/>
      <c r="BI235" s="38"/>
      <c r="BJ235" s="38"/>
      <c r="BK235" s="38"/>
      <c r="BL235" s="38"/>
      <c r="BM235" s="71"/>
      <c r="BN235" s="38"/>
      <c r="BO235" s="38"/>
      <c r="BP235" s="38"/>
      <c r="BQ235" s="38"/>
      <c r="BR235" s="38"/>
      <c r="BS235" s="71"/>
      <c r="BT235" s="38"/>
      <c r="BU235" s="38"/>
      <c r="BV235" s="38"/>
      <c r="BW235" s="38"/>
      <c r="BX235" s="38"/>
      <c r="BY235" s="71"/>
      <c r="BZ235" s="38"/>
      <c r="CA235" s="38"/>
      <c r="CB235" s="38"/>
      <c r="CC235" s="38"/>
      <c r="CD235" s="38"/>
      <c r="CE235" s="71"/>
      <c r="CF235" s="38"/>
      <c r="CG235" s="38"/>
      <c r="CH235" s="38"/>
      <c r="CI235" s="38"/>
      <c r="CJ235" s="38"/>
      <c r="CK235" s="71"/>
      <c r="CL235" s="67"/>
      <c r="CM235" s="67"/>
      <c r="CN235" s="67"/>
      <c r="CO235" s="67"/>
      <c r="CP235" s="67"/>
      <c r="CQ235" s="67"/>
      <c r="CR235" s="37"/>
      <c r="CS235" s="39"/>
      <c r="CT235" s="53"/>
      <c r="CU235" s="39"/>
      <c r="CV235" s="39"/>
      <c r="CW235" s="39"/>
      <c r="CX235" s="39"/>
      <c r="CY235" s="39"/>
      <c r="CZ235" s="39"/>
      <c r="DA235" s="39"/>
      <c r="DB235" s="39"/>
      <c r="DC235" s="39"/>
      <c r="DD235" s="39">
        <f>+HLOOKUP('Reporte Evolución Mensual'!$F$2-2,$CR$2:$DC$251, Input!$DG235, FALSE)</f>
        <v>444788654.39999998</v>
      </c>
      <c r="DE235" s="39">
        <f>+HLOOKUP('Reporte Evolución Mensual'!$F$2-1,$CR$2:$DC$251, Input!$DG235, FALSE)</f>
        <v>527833322.60570002</v>
      </c>
      <c r="DF235" s="39">
        <f>+HLOOKUP('Reporte Evolución Mensual'!$F$2,$CR$2:$DC$251, Input!$DG235, FALSE)</f>
        <v>577153349.12810004</v>
      </c>
      <c r="DG235" s="40">
        <f t="shared" si="795"/>
        <v>235</v>
      </c>
      <c r="DH235" s="39"/>
      <c r="DI235" s="39"/>
      <c r="DJ235" s="39"/>
      <c r="DK235" s="39"/>
      <c r="DL235" s="39"/>
      <c r="DM235" s="39"/>
      <c r="DN235" s="39"/>
      <c r="DO235" s="58"/>
      <c r="DP235" s="58"/>
      <c r="DQ235" s="58"/>
      <c r="DR235" s="58"/>
      <c r="DS235" s="1"/>
      <c r="DT235" s="1"/>
      <c r="DU235" s="1"/>
      <c r="DV235" s="345"/>
    </row>
    <row r="236" spans="1:126" ht="15" customHeight="1" x14ac:dyDescent="0.3">
      <c r="A236" s="1" t="str">
        <f t="shared" si="713"/>
        <v>ADIFSE</v>
      </c>
      <c r="B236" s="1" t="str">
        <f t="shared" si="714"/>
        <v>ADIFSE</v>
      </c>
      <c r="C236" s="1" t="str">
        <f t="shared" si="715"/>
        <v>MAY</v>
      </c>
      <c r="D236" s="1" t="s">
        <v>163</v>
      </c>
      <c r="E236" s="113" t="str">
        <f>H236</f>
        <v>Tesoro y Crédito Interno</v>
      </c>
      <c r="F236" s="136" t="s">
        <v>272</v>
      </c>
      <c r="G236" s="32" t="s">
        <v>283</v>
      </c>
      <c r="H236" s="32" t="s">
        <v>274</v>
      </c>
      <c r="I236" s="32" t="s">
        <v>274</v>
      </c>
      <c r="J236" s="32" t="s">
        <v>289</v>
      </c>
      <c r="K236" s="38"/>
      <c r="L236" s="38">
        <f>+L214</f>
        <v>0</v>
      </c>
      <c r="M236" s="91"/>
      <c r="N236" s="91"/>
      <c r="O236" s="91"/>
      <c r="P236" s="91"/>
      <c r="Q236" s="35">
        <f t="shared" ref="Q236:Q241" si="948">SUM(L236:P236)</f>
        <v>0</v>
      </c>
      <c r="R236" s="38">
        <f>+R214</f>
        <v>238339392.13999999</v>
      </c>
      <c r="S236" s="91"/>
      <c r="T236" s="91"/>
      <c r="U236" s="91"/>
      <c r="V236" s="91"/>
      <c r="W236" s="36">
        <f t="shared" ref="W236:W241" si="949">SUM(R236:V236)</f>
        <v>238339392.13999999</v>
      </c>
      <c r="X236" s="38">
        <f>+X214</f>
        <v>444976437.31999999</v>
      </c>
      <c r="Y236" s="91"/>
      <c r="Z236" s="91"/>
      <c r="AA236" s="91"/>
      <c r="AB236" s="91"/>
      <c r="AC236" s="36">
        <f t="shared" ref="AC236:AC241" si="950">SUM(X236:AB236)</f>
        <v>444976437.31999999</v>
      </c>
      <c r="AD236" s="38">
        <f>+AD214</f>
        <v>444788654.39999998</v>
      </c>
      <c r="AE236" s="91"/>
      <c r="AF236" s="91"/>
      <c r="AG236" s="91"/>
      <c r="AH236" s="91"/>
      <c r="AI236" s="36">
        <f t="shared" ref="AI236:AI241" si="951">SUM(AD236:AH236)</f>
        <v>444788654.39999998</v>
      </c>
      <c r="AJ236" s="38">
        <f>+AJ214</f>
        <v>527833322.60570002</v>
      </c>
      <c r="AK236" s="91"/>
      <c r="AL236" s="91"/>
      <c r="AM236" s="91"/>
      <c r="AN236" s="91"/>
      <c r="AO236" s="36">
        <f t="shared" ref="AO236:AO241" si="952">SUM(AJ236:AN236)</f>
        <v>527833322.60570002</v>
      </c>
      <c r="AP236" s="38">
        <f>+AP214</f>
        <v>577153349.12810004</v>
      </c>
      <c r="AQ236" s="91"/>
      <c r="AR236" s="91"/>
      <c r="AS236" s="91"/>
      <c r="AT236" s="91"/>
      <c r="AU236" s="36">
        <f t="shared" ref="AU236:AU241" si="953">SUM(AP236:AT236)</f>
        <v>577153349.12810004</v>
      </c>
      <c r="AV236" s="38">
        <f>+AV214</f>
        <v>0</v>
      </c>
      <c r="AW236" s="91"/>
      <c r="AX236" s="91"/>
      <c r="AY236" s="91"/>
      <c r="AZ236" s="91"/>
      <c r="BA236" s="36">
        <f t="shared" ref="BA236:BA241" si="954">SUM(AV236:AZ236)</f>
        <v>0</v>
      </c>
      <c r="BB236" s="38">
        <f>+BB214</f>
        <v>0</v>
      </c>
      <c r="BC236" s="91"/>
      <c r="BD236" s="91"/>
      <c r="BE236" s="91"/>
      <c r="BF236" s="91"/>
      <c r="BG236" s="36">
        <f t="shared" ref="BG236:BG241" si="955">SUM(BB236:BF236)</f>
        <v>0</v>
      </c>
      <c r="BH236" s="38">
        <f>+BH214</f>
        <v>0</v>
      </c>
      <c r="BI236" s="91"/>
      <c r="BJ236" s="91"/>
      <c r="BK236" s="91"/>
      <c r="BL236" s="91"/>
      <c r="BM236" s="36">
        <f t="shared" ref="BM236:BM241" si="956">SUM(BH236:BL236)</f>
        <v>0</v>
      </c>
      <c r="BN236" s="38">
        <f>+BN214</f>
        <v>0</v>
      </c>
      <c r="BO236" s="91"/>
      <c r="BP236" s="91"/>
      <c r="BQ236" s="91"/>
      <c r="BR236" s="91"/>
      <c r="BS236" s="36">
        <f t="shared" ref="BS236:BS241" si="957">SUM(BN236:BR236)</f>
        <v>0</v>
      </c>
      <c r="BT236" s="38">
        <f>+BT214</f>
        <v>0</v>
      </c>
      <c r="BU236" s="91"/>
      <c r="BV236" s="91"/>
      <c r="BW236" s="91"/>
      <c r="BX236" s="91"/>
      <c r="BY236" s="36">
        <f t="shared" ref="BY236:BY241" si="958">SUM(BT236:BX236)</f>
        <v>0</v>
      </c>
      <c r="BZ236" s="38">
        <f>+BZ214</f>
        <v>0</v>
      </c>
      <c r="CA236" s="91"/>
      <c r="CB236" s="91"/>
      <c r="CC236" s="91"/>
      <c r="CD236" s="91"/>
      <c r="CE236" s="36">
        <f t="shared" ref="CE236:CE241" si="959">SUM(BZ236:CD236)</f>
        <v>0</v>
      </c>
      <c r="CF236" s="38">
        <f>+CF214</f>
        <v>0</v>
      </c>
      <c r="CG236" s="91"/>
      <c r="CH236" s="91"/>
      <c r="CI236" s="91"/>
      <c r="CJ236" s="91"/>
      <c r="CK236" s="71">
        <f t="shared" ref="CK236:CK241" si="960">SUM(CF236:CJ236)</f>
        <v>0</v>
      </c>
      <c r="CL236" s="67">
        <f t="shared" ref="CL236:CQ241" si="961">+R236+X236+AD236+AJ236+AP236+AV236+BB236+BH236+BN236+BT236+BZ236+CF236</f>
        <v>2233091155.5938001</v>
      </c>
      <c r="CM236" s="67">
        <f t="shared" si="961"/>
        <v>0</v>
      </c>
      <c r="CN236" s="67">
        <f t="shared" si="961"/>
        <v>0</v>
      </c>
      <c r="CO236" s="67">
        <f t="shared" si="961"/>
        <v>0</v>
      </c>
      <c r="CP236" s="67">
        <f t="shared" si="961"/>
        <v>0</v>
      </c>
      <c r="CQ236" s="67">
        <f t="shared" si="961"/>
        <v>2233091155.5938001</v>
      </c>
      <c r="CR236" s="37">
        <f t="shared" ref="CR236:CR241" si="962">+W236</f>
        <v>238339392.13999999</v>
      </c>
      <c r="CS236" s="39">
        <f t="shared" ref="CS236:CS241" si="963">+AC236</f>
        <v>444976437.31999999</v>
      </c>
      <c r="CT236" s="53">
        <f t="shared" ref="CT236:CT241" si="964">+AI236</f>
        <v>444788654.39999998</v>
      </c>
      <c r="CU236" s="39">
        <f t="shared" ref="CU236:CU241" si="965">+AO236</f>
        <v>527833322.60570002</v>
      </c>
      <c r="CV236" s="39">
        <f t="shared" ref="CV236:CV241" si="966">+AU236</f>
        <v>577153349.12810004</v>
      </c>
      <c r="CW236" s="39">
        <f t="shared" ref="CW236:CW241" si="967">+BA236</f>
        <v>0</v>
      </c>
      <c r="CX236" s="39">
        <f t="shared" ref="CX236:CX241" si="968">+BG236</f>
        <v>0</v>
      </c>
      <c r="CY236" s="39">
        <f t="shared" ref="CY236:CY241" si="969">+BM236</f>
        <v>0</v>
      </c>
      <c r="CZ236" s="39">
        <f t="shared" ref="CZ236:CZ241" si="970">+BS236</f>
        <v>0</v>
      </c>
      <c r="DA236" s="39">
        <f t="shared" ref="DA236:DA241" si="971">+BY236</f>
        <v>0</v>
      </c>
      <c r="DB236" s="39">
        <f t="shared" ref="DB236:DB241" si="972">+CE236</f>
        <v>0</v>
      </c>
      <c r="DC236" s="39">
        <f t="shared" ref="DC236:DC241" si="973">+CK236</f>
        <v>0</v>
      </c>
      <c r="DD236" s="39">
        <f>+HLOOKUP('Reporte Evolución Mensual'!$F$2-2,$CR$2:$DC$251, Input!$DG236, FALSE)</f>
        <v>0</v>
      </c>
      <c r="DE236" s="39">
        <f>+HLOOKUP('Reporte Evolución Mensual'!$F$2-1,$CR$2:$DC$251, Input!$DG236, FALSE)</f>
        <v>0</v>
      </c>
      <c r="DF236" s="39">
        <f>+HLOOKUP('Reporte Evolución Mensual'!$F$2,$CR$2:$DC$251, Input!$DG236, FALSE)</f>
        <v>0</v>
      </c>
      <c r="DG236" s="40">
        <f t="shared" si="795"/>
        <v>236</v>
      </c>
      <c r="DH236" s="39"/>
      <c r="DI236" s="39"/>
      <c r="DJ236" s="39"/>
      <c r="DK236" s="39"/>
      <c r="DL236" s="39"/>
      <c r="DM236" s="39"/>
      <c r="DN236" s="39"/>
      <c r="DO236" s="58"/>
      <c r="DP236" s="58"/>
      <c r="DQ236" s="58"/>
      <c r="DR236" s="58"/>
      <c r="DS236" s="1"/>
      <c r="DT236" s="1"/>
      <c r="DU236" s="1"/>
      <c r="DV236" s="345"/>
    </row>
    <row r="237" spans="1:126" ht="15" customHeight="1" x14ac:dyDescent="0.3">
      <c r="A237" s="1" t="str">
        <f t="shared" si="713"/>
        <v>ADIFSE</v>
      </c>
      <c r="B237" s="1" t="str">
        <f t="shared" si="714"/>
        <v>ADIFSE</v>
      </c>
      <c r="C237" s="1" t="str">
        <f t="shared" si="715"/>
        <v>MAY</v>
      </c>
      <c r="D237" s="1" t="s">
        <v>163</v>
      </c>
      <c r="E237" s="113" t="str">
        <f>H237</f>
        <v>Recursos Propios</v>
      </c>
      <c r="F237" s="136" t="s">
        <v>276</v>
      </c>
      <c r="G237" s="32" t="s">
        <v>273</v>
      </c>
      <c r="H237" s="32" t="s">
        <v>275</v>
      </c>
      <c r="I237" s="32" t="s">
        <v>275</v>
      </c>
      <c r="J237" s="32" t="s">
        <v>289</v>
      </c>
      <c r="K237" s="38"/>
      <c r="L237" s="38"/>
      <c r="M237" s="91">
        <f>+M214</f>
        <v>0</v>
      </c>
      <c r="N237" s="91"/>
      <c r="O237" s="91"/>
      <c r="P237" s="91"/>
      <c r="Q237" s="93">
        <f t="shared" si="948"/>
        <v>0</v>
      </c>
      <c r="R237" s="38"/>
      <c r="S237" s="91">
        <f>+S214</f>
        <v>0</v>
      </c>
      <c r="T237" s="91"/>
      <c r="U237" s="91"/>
      <c r="V237" s="91"/>
      <c r="W237" s="92">
        <f t="shared" si="949"/>
        <v>0</v>
      </c>
      <c r="X237" s="38"/>
      <c r="Y237" s="91">
        <f>+Y214</f>
        <v>0</v>
      </c>
      <c r="Z237" s="91"/>
      <c r="AA237" s="91"/>
      <c r="AB237" s="91"/>
      <c r="AC237" s="92">
        <f t="shared" si="950"/>
        <v>0</v>
      </c>
      <c r="AD237" s="38"/>
      <c r="AE237" s="91">
        <f>+AE214</f>
        <v>0</v>
      </c>
      <c r="AF237" s="91"/>
      <c r="AG237" s="91"/>
      <c r="AH237" s="91"/>
      <c r="AI237" s="92">
        <f t="shared" si="951"/>
        <v>0</v>
      </c>
      <c r="AJ237" s="38"/>
      <c r="AK237" s="91">
        <f>+AK214</f>
        <v>0</v>
      </c>
      <c r="AL237" s="91"/>
      <c r="AM237" s="91"/>
      <c r="AN237" s="91"/>
      <c r="AO237" s="92">
        <f t="shared" si="952"/>
        <v>0</v>
      </c>
      <c r="AP237" s="38"/>
      <c r="AQ237" s="91">
        <f>+AQ214</f>
        <v>0</v>
      </c>
      <c r="AR237" s="91"/>
      <c r="AS237" s="91"/>
      <c r="AT237" s="91"/>
      <c r="AU237" s="92">
        <f t="shared" si="953"/>
        <v>0</v>
      </c>
      <c r="AV237" s="38"/>
      <c r="AW237" s="91">
        <f>+AW214</f>
        <v>0</v>
      </c>
      <c r="AX237" s="91"/>
      <c r="AY237" s="91"/>
      <c r="AZ237" s="91"/>
      <c r="BA237" s="92">
        <f t="shared" si="954"/>
        <v>0</v>
      </c>
      <c r="BB237" s="38"/>
      <c r="BC237" s="91">
        <f>+BC214</f>
        <v>0</v>
      </c>
      <c r="BD237" s="91"/>
      <c r="BE237" s="91"/>
      <c r="BF237" s="91"/>
      <c r="BG237" s="92">
        <f t="shared" si="955"/>
        <v>0</v>
      </c>
      <c r="BH237" s="38"/>
      <c r="BI237" s="91">
        <f>+BI214</f>
        <v>0</v>
      </c>
      <c r="BJ237" s="91"/>
      <c r="BK237" s="91"/>
      <c r="BL237" s="91"/>
      <c r="BM237" s="92">
        <f t="shared" si="956"/>
        <v>0</v>
      </c>
      <c r="BN237" s="38"/>
      <c r="BO237" s="91">
        <f>+BO214</f>
        <v>0</v>
      </c>
      <c r="BP237" s="91"/>
      <c r="BQ237" s="91"/>
      <c r="BR237" s="91"/>
      <c r="BS237" s="92">
        <f t="shared" si="957"/>
        <v>0</v>
      </c>
      <c r="BT237" s="38"/>
      <c r="BU237" s="91">
        <f>+BU214</f>
        <v>0</v>
      </c>
      <c r="BV237" s="91"/>
      <c r="BW237" s="91"/>
      <c r="BX237" s="91"/>
      <c r="BY237" s="92">
        <f t="shared" si="958"/>
        <v>0</v>
      </c>
      <c r="BZ237" s="38"/>
      <c r="CA237" s="91">
        <f>+CA214</f>
        <v>0</v>
      </c>
      <c r="CB237" s="91"/>
      <c r="CC237" s="91"/>
      <c r="CD237" s="91"/>
      <c r="CE237" s="92">
        <f t="shared" si="959"/>
        <v>0</v>
      </c>
      <c r="CF237" s="38"/>
      <c r="CG237" s="91">
        <f>+CG214</f>
        <v>0</v>
      </c>
      <c r="CH237" s="91"/>
      <c r="CI237" s="91"/>
      <c r="CJ237" s="91"/>
      <c r="CK237" s="71">
        <f t="shared" si="960"/>
        <v>0</v>
      </c>
      <c r="CL237" s="67">
        <f t="shared" si="961"/>
        <v>0</v>
      </c>
      <c r="CM237" s="67">
        <f t="shared" si="961"/>
        <v>0</v>
      </c>
      <c r="CN237" s="67">
        <f t="shared" si="961"/>
        <v>0</v>
      </c>
      <c r="CO237" s="67">
        <f t="shared" si="961"/>
        <v>0</v>
      </c>
      <c r="CP237" s="67">
        <f t="shared" si="961"/>
        <v>0</v>
      </c>
      <c r="CQ237" s="67">
        <f t="shared" si="961"/>
        <v>0</v>
      </c>
      <c r="CR237" s="37">
        <f t="shared" si="962"/>
        <v>0</v>
      </c>
      <c r="CS237" s="39">
        <f t="shared" si="963"/>
        <v>0</v>
      </c>
      <c r="CT237" s="53">
        <f t="shared" si="964"/>
        <v>0</v>
      </c>
      <c r="CU237" s="39">
        <f t="shared" si="965"/>
        <v>0</v>
      </c>
      <c r="CV237" s="39">
        <f t="shared" si="966"/>
        <v>0</v>
      </c>
      <c r="CW237" s="39">
        <f t="shared" si="967"/>
        <v>0</v>
      </c>
      <c r="CX237" s="39">
        <f t="shared" si="968"/>
        <v>0</v>
      </c>
      <c r="CY237" s="39">
        <f t="shared" si="969"/>
        <v>0</v>
      </c>
      <c r="CZ237" s="39">
        <f t="shared" si="970"/>
        <v>0</v>
      </c>
      <c r="DA237" s="39">
        <f t="shared" si="971"/>
        <v>0</v>
      </c>
      <c r="DB237" s="39">
        <f t="shared" si="972"/>
        <v>0</v>
      </c>
      <c r="DC237" s="39">
        <f t="shared" si="973"/>
        <v>0</v>
      </c>
      <c r="DD237" s="39">
        <f>+HLOOKUP('Reporte Evolución Mensual'!$F$2-2,$CR$2:$DC$251, Input!$DG237, FALSE)</f>
        <v>0</v>
      </c>
      <c r="DE237" s="39">
        <f>+HLOOKUP('Reporte Evolución Mensual'!$F$2-1,$CR$2:$DC$251, Input!$DG237, FALSE)</f>
        <v>0</v>
      </c>
      <c r="DF237" s="39">
        <f>+HLOOKUP('Reporte Evolución Mensual'!$F$2,$CR$2:$DC$251, Input!$DG237, FALSE)</f>
        <v>0</v>
      </c>
      <c r="DG237" s="40">
        <f t="shared" si="795"/>
        <v>237</v>
      </c>
      <c r="DH237" s="39"/>
      <c r="DI237" s="39"/>
      <c r="DJ237" s="39"/>
      <c r="DK237" s="39"/>
      <c r="DL237" s="39"/>
      <c r="DM237" s="39"/>
      <c r="DN237" s="39"/>
      <c r="DO237" s="58"/>
      <c r="DP237" s="58"/>
      <c r="DQ237" s="58"/>
      <c r="DR237" s="58"/>
      <c r="DS237" s="1"/>
      <c r="DT237" s="1"/>
      <c r="DU237" s="1"/>
      <c r="DV237" s="345" t="s">
        <v>163</v>
      </c>
    </row>
    <row r="238" spans="1:126" ht="15" customHeight="1" x14ac:dyDescent="0.3">
      <c r="A238" s="1" t="str">
        <f t="shared" si="713"/>
        <v>ADIFSE</v>
      </c>
      <c r="B238" s="1" t="str">
        <f t="shared" si="714"/>
        <v>ADIFSE</v>
      </c>
      <c r="C238" s="1" t="str">
        <f t="shared" si="715"/>
        <v>MAY</v>
      </c>
      <c r="D238" s="1" t="s">
        <v>163</v>
      </c>
      <c r="E238" s="113" t="str">
        <f>H238</f>
        <v>Recursos con afectación</v>
      </c>
      <c r="F238" s="136" t="s">
        <v>278</v>
      </c>
      <c r="G238" s="32" t="s">
        <v>273</v>
      </c>
      <c r="H238" s="32" t="s">
        <v>279</v>
      </c>
      <c r="I238" s="32" t="s">
        <v>279</v>
      </c>
      <c r="J238" s="32" t="s">
        <v>289</v>
      </c>
      <c r="K238" s="38"/>
      <c r="L238" s="38"/>
      <c r="M238" s="91"/>
      <c r="N238" s="91">
        <f>+N214</f>
        <v>0</v>
      </c>
      <c r="O238" s="91"/>
      <c r="P238" s="91"/>
      <c r="Q238" s="93">
        <f t="shared" si="948"/>
        <v>0</v>
      </c>
      <c r="R238" s="38"/>
      <c r="S238" s="91"/>
      <c r="T238" s="91">
        <f>+T214</f>
        <v>0</v>
      </c>
      <c r="U238" s="91"/>
      <c r="V238" s="91"/>
      <c r="W238" s="92">
        <f t="shared" si="949"/>
        <v>0</v>
      </c>
      <c r="X238" s="38"/>
      <c r="Y238" s="91"/>
      <c r="Z238" s="91">
        <f>+Z214</f>
        <v>0</v>
      </c>
      <c r="AA238" s="91"/>
      <c r="AB238" s="91"/>
      <c r="AC238" s="92">
        <f t="shared" si="950"/>
        <v>0</v>
      </c>
      <c r="AD238" s="38"/>
      <c r="AE238" s="91"/>
      <c r="AF238" s="91">
        <f>+AF214</f>
        <v>0</v>
      </c>
      <c r="AG238" s="91"/>
      <c r="AH238" s="91"/>
      <c r="AI238" s="92">
        <f t="shared" si="951"/>
        <v>0</v>
      </c>
      <c r="AJ238" s="38"/>
      <c r="AK238" s="91"/>
      <c r="AL238" s="91">
        <f>+AL214</f>
        <v>0</v>
      </c>
      <c r="AM238" s="91"/>
      <c r="AN238" s="91"/>
      <c r="AO238" s="92">
        <f t="shared" si="952"/>
        <v>0</v>
      </c>
      <c r="AP238" s="38"/>
      <c r="AQ238" s="91"/>
      <c r="AR238" s="91">
        <f>+AR214</f>
        <v>0</v>
      </c>
      <c r="AS238" s="91"/>
      <c r="AT238" s="91"/>
      <c r="AU238" s="92">
        <f t="shared" si="953"/>
        <v>0</v>
      </c>
      <c r="AV238" s="38"/>
      <c r="AW238" s="91"/>
      <c r="AX238" s="91">
        <f>+AX214</f>
        <v>0</v>
      </c>
      <c r="AY238" s="91"/>
      <c r="AZ238" s="91"/>
      <c r="BA238" s="92">
        <f t="shared" si="954"/>
        <v>0</v>
      </c>
      <c r="BB238" s="38"/>
      <c r="BC238" s="91"/>
      <c r="BD238" s="91">
        <f>+BD214</f>
        <v>0</v>
      </c>
      <c r="BE238" s="91"/>
      <c r="BF238" s="91"/>
      <c r="BG238" s="92">
        <f t="shared" si="955"/>
        <v>0</v>
      </c>
      <c r="BH238" s="38"/>
      <c r="BI238" s="91"/>
      <c r="BJ238" s="91">
        <f>+BJ214</f>
        <v>0</v>
      </c>
      <c r="BK238" s="91"/>
      <c r="BL238" s="91"/>
      <c r="BM238" s="92">
        <f t="shared" si="956"/>
        <v>0</v>
      </c>
      <c r="BN238" s="38"/>
      <c r="BO238" s="91"/>
      <c r="BP238" s="91">
        <f>+BP214</f>
        <v>0</v>
      </c>
      <c r="BQ238" s="91"/>
      <c r="BR238" s="91"/>
      <c r="BS238" s="92">
        <f t="shared" si="957"/>
        <v>0</v>
      </c>
      <c r="BT238" s="38"/>
      <c r="BU238" s="91"/>
      <c r="BV238" s="91">
        <f>+BV214</f>
        <v>0</v>
      </c>
      <c r="BW238" s="91"/>
      <c r="BX238" s="91"/>
      <c r="BY238" s="92">
        <f t="shared" si="958"/>
        <v>0</v>
      </c>
      <c r="BZ238" s="38"/>
      <c r="CA238" s="91"/>
      <c r="CB238" s="91">
        <f>+CB214</f>
        <v>0</v>
      </c>
      <c r="CC238" s="91"/>
      <c r="CD238" s="91"/>
      <c r="CE238" s="92">
        <f t="shared" si="959"/>
        <v>0</v>
      </c>
      <c r="CF238" s="38"/>
      <c r="CG238" s="91"/>
      <c r="CH238" s="91">
        <f>+CH214</f>
        <v>0</v>
      </c>
      <c r="CI238" s="91"/>
      <c r="CJ238" s="91"/>
      <c r="CK238" s="71">
        <f t="shared" si="960"/>
        <v>0</v>
      </c>
      <c r="CL238" s="67">
        <f t="shared" si="961"/>
        <v>0</v>
      </c>
      <c r="CM238" s="67">
        <f t="shared" si="961"/>
        <v>0</v>
      </c>
      <c r="CN238" s="67">
        <f t="shared" si="961"/>
        <v>0</v>
      </c>
      <c r="CO238" s="67">
        <f t="shared" si="961"/>
        <v>0</v>
      </c>
      <c r="CP238" s="67">
        <f t="shared" si="961"/>
        <v>0</v>
      </c>
      <c r="CQ238" s="67">
        <f t="shared" si="961"/>
        <v>0</v>
      </c>
      <c r="CR238" s="37">
        <f t="shared" si="962"/>
        <v>0</v>
      </c>
      <c r="CS238" s="39">
        <f t="shared" si="963"/>
        <v>0</v>
      </c>
      <c r="CT238" s="53">
        <f t="shared" si="964"/>
        <v>0</v>
      </c>
      <c r="CU238" s="39">
        <f t="shared" si="965"/>
        <v>0</v>
      </c>
      <c r="CV238" s="39">
        <f t="shared" si="966"/>
        <v>0</v>
      </c>
      <c r="CW238" s="39">
        <f t="shared" si="967"/>
        <v>0</v>
      </c>
      <c r="CX238" s="39">
        <f t="shared" si="968"/>
        <v>0</v>
      </c>
      <c r="CY238" s="39">
        <f t="shared" si="969"/>
        <v>0</v>
      </c>
      <c r="CZ238" s="39">
        <f t="shared" si="970"/>
        <v>0</v>
      </c>
      <c r="DA238" s="39">
        <f t="shared" si="971"/>
        <v>0</v>
      </c>
      <c r="DB238" s="39">
        <f t="shared" si="972"/>
        <v>0</v>
      </c>
      <c r="DC238" s="39">
        <f t="shared" si="973"/>
        <v>0</v>
      </c>
      <c r="DD238" s="39">
        <f>+HLOOKUP('Reporte Evolución Mensual'!$F$2-2,$CR$2:$DC$251, Input!$DG238, FALSE)</f>
        <v>200000000</v>
      </c>
      <c r="DE238" s="39">
        <f>+HLOOKUP('Reporte Evolución Mensual'!$F$2-1,$CR$2:$DC$251, Input!$DG238, FALSE)</f>
        <v>150000000</v>
      </c>
      <c r="DF238" s="39">
        <f>+HLOOKUP('Reporte Evolución Mensual'!$F$2,$CR$2:$DC$251, Input!$DG238, FALSE)</f>
        <v>150000000</v>
      </c>
      <c r="DG238" s="40">
        <f t="shared" si="795"/>
        <v>238</v>
      </c>
      <c r="DH238" s="39"/>
      <c r="DI238" s="39"/>
      <c r="DJ238" s="39"/>
      <c r="DK238" s="39"/>
      <c r="DL238" s="39"/>
      <c r="DM238" s="39"/>
      <c r="DN238" s="39"/>
      <c r="DO238" s="58"/>
      <c r="DP238" s="58"/>
      <c r="DQ238" s="58"/>
      <c r="DR238" s="58"/>
      <c r="DS238" s="1"/>
      <c r="DT238" s="1"/>
      <c r="DU238" s="1"/>
      <c r="DV238" s="345" t="s">
        <v>163</v>
      </c>
    </row>
    <row r="239" spans="1:126" ht="15" customHeight="1" x14ac:dyDescent="0.3">
      <c r="A239" s="1" t="str">
        <f t="shared" si="713"/>
        <v>ADIFSE</v>
      </c>
      <c r="B239" s="1" t="str">
        <f t="shared" si="714"/>
        <v>ADIFSE</v>
      </c>
      <c r="C239" s="1" t="str">
        <f t="shared" si="715"/>
        <v>MAY</v>
      </c>
      <c r="D239" s="1" t="s">
        <v>163</v>
      </c>
      <c r="E239" s="113" t="str">
        <f>H239</f>
        <v>Otros</v>
      </c>
      <c r="F239" s="136" t="s">
        <v>280</v>
      </c>
      <c r="G239" s="32" t="s">
        <v>283</v>
      </c>
      <c r="H239" s="32" t="s">
        <v>202</v>
      </c>
      <c r="I239" s="32" t="s">
        <v>202</v>
      </c>
      <c r="J239" s="32" t="s">
        <v>289</v>
      </c>
      <c r="K239" s="38"/>
      <c r="L239" s="34"/>
      <c r="M239" s="34"/>
      <c r="N239" s="34"/>
      <c r="O239" s="38">
        <f>+O214</f>
        <v>0</v>
      </c>
      <c r="P239" s="38"/>
      <c r="Q239" s="35">
        <f t="shared" si="948"/>
        <v>0</v>
      </c>
      <c r="R239" s="34"/>
      <c r="S239" s="34"/>
      <c r="T239" s="34"/>
      <c r="U239" s="38">
        <f>+U214</f>
        <v>0</v>
      </c>
      <c r="V239" s="34"/>
      <c r="W239" s="36">
        <f t="shared" si="949"/>
        <v>0</v>
      </c>
      <c r="X239" s="34"/>
      <c r="Y239" s="34"/>
      <c r="Z239" s="34"/>
      <c r="AA239" s="38">
        <f>+AA214</f>
        <v>200000000</v>
      </c>
      <c r="AB239" s="34"/>
      <c r="AC239" s="36">
        <f t="shared" si="950"/>
        <v>200000000</v>
      </c>
      <c r="AD239" s="34"/>
      <c r="AE239" s="34"/>
      <c r="AF239" s="34"/>
      <c r="AG239" s="38">
        <f>+AG214</f>
        <v>200000000</v>
      </c>
      <c r="AH239" s="34"/>
      <c r="AI239" s="36">
        <f t="shared" si="951"/>
        <v>200000000</v>
      </c>
      <c r="AJ239" s="34"/>
      <c r="AK239" s="34"/>
      <c r="AL239" s="34"/>
      <c r="AM239" s="38">
        <f>+AM214</f>
        <v>150000000</v>
      </c>
      <c r="AN239" s="34"/>
      <c r="AO239" s="36">
        <f t="shared" si="952"/>
        <v>150000000</v>
      </c>
      <c r="AP239" s="34"/>
      <c r="AQ239" s="34"/>
      <c r="AR239" s="34"/>
      <c r="AS239" s="38">
        <f>+AS214</f>
        <v>150000000</v>
      </c>
      <c r="AT239" s="34"/>
      <c r="AU239" s="36">
        <f t="shared" si="953"/>
        <v>150000000</v>
      </c>
      <c r="AV239" s="34"/>
      <c r="AW239" s="34"/>
      <c r="AX239" s="34"/>
      <c r="AY239" s="38">
        <f>+AY214</f>
        <v>0</v>
      </c>
      <c r="AZ239" s="34"/>
      <c r="BA239" s="36">
        <f t="shared" si="954"/>
        <v>0</v>
      </c>
      <c r="BB239" s="34"/>
      <c r="BC239" s="34"/>
      <c r="BD239" s="34"/>
      <c r="BE239" s="38">
        <f>+BE214</f>
        <v>0</v>
      </c>
      <c r="BF239" s="34"/>
      <c r="BG239" s="36">
        <f t="shared" si="955"/>
        <v>0</v>
      </c>
      <c r="BH239" s="34"/>
      <c r="BI239" s="34"/>
      <c r="BJ239" s="34"/>
      <c r="BK239" s="38">
        <f>+BK214</f>
        <v>0</v>
      </c>
      <c r="BL239" s="34"/>
      <c r="BM239" s="36">
        <f t="shared" si="956"/>
        <v>0</v>
      </c>
      <c r="BN239" s="34"/>
      <c r="BO239" s="34"/>
      <c r="BP239" s="34"/>
      <c r="BQ239" s="38">
        <f>+BQ214</f>
        <v>0</v>
      </c>
      <c r="BR239" s="34"/>
      <c r="BS239" s="36">
        <f t="shared" si="957"/>
        <v>0</v>
      </c>
      <c r="BT239" s="34"/>
      <c r="BU239" s="34"/>
      <c r="BV239" s="34"/>
      <c r="BW239" s="38">
        <f>+BW214</f>
        <v>0</v>
      </c>
      <c r="BX239" s="34"/>
      <c r="BY239" s="36">
        <f t="shared" si="958"/>
        <v>0</v>
      </c>
      <c r="BZ239" s="34"/>
      <c r="CA239" s="34"/>
      <c r="CB239" s="34"/>
      <c r="CC239" s="38">
        <f>+CC214</f>
        <v>0</v>
      </c>
      <c r="CD239" s="34"/>
      <c r="CE239" s="36">
        <f t="shared" si="959"/>
        <v>0</v>
      </c>
      <c r="CF239" s="34"/>
      <c r="CG239" s="34"/>
      <c r="CH239" s="34"/>
      <c r="CI239" s="38">
        <f>+CI214</f>
        <v>0</v>
      </c>
      <c r="CJ239" s="34"/>
      <c r="CK239" s="71">
        <f t="shared" si="960"/>
        <v>0</v>
      </c>
      <c r="CL239" s="67">
        <f t="shared" si="961"/>
        <v>0</v>
      </c>
      <c r="CM239" s="67">
        <f t="shared" si="961"/>
        <v>0</v>
      </c>
      <c r="CN239" s="67">
        <f t="shared" si="961"/>
        <v>0</v>
      </c>
      <c r="CO239" s="67">
        <f t="shared" si="961"/>
        <v>700000000</v>
      </c>
      <c r="CP239" s="67">
        <f t="shared" si="961"/>
        <v>0</v>
      </c>
      <c r="CQ239" s="67">
        <f t="shared" si="961"/>
        <v>700000000</v>
      </c>
      <c r="CR239" s="37">
        <f t="shared" si="962"/>
        <v>0</v>
      </c>
      <c r="CS239" s="39">
        <f t="shared" si="963"/>
        <v>200000000</v>
      </c>
      <c r="CT239" s="53">
        <f t="shared" si="964"/>
        <v>200000000</v>
      </c>
      <c r="CU239" s="39">
        <f t="shared" si="965"/>
        <v>150000000</v>
      </c>
      <c r="CV239" s="39">
        <f t="shared" si="966"/>
        <v>150000000</v>
      </c>
      <c r="CW239" s="39">
        <f t="shared" si="967"/>
        <v>0</v>
      </c>
      <c r="CX239" s="39">
        <f t="shared" si="968"/>
        <v>0</v>
      </c>
      <c r="CY239" s="39">
        <f t="shared" si="969"/>
        <v>0</v>
      </c>
      <c r="CZ239" s="39">
        <f t="shared" si="970"/>
        <v>0</v>
      </c>
      <c r="DA239" s="39">
        <f t="shared" si="971"/>
        <v>0</v>
      </c>
      <c r="DB239" s="39">
        <f t="shared" si="972"/>
        <v>0</v>
      </c>
      <c r="DC239" s="39">
        <f t="shared" si="973"/>
        <v>0</v>
      </c>
      <c r="DD239" s="39">
        <f>+HLOOKUP('Reporte Evolución Mensual'!$F$2-2,$CR$2:$DC$251, Input!$DG239, FALSE)</f>
        <v>83625000</v>
      </c>
      <c r="DE239" s="39">
        <f>+HLOOKUP('Reporte Evolución Mensual'!$F$2-1,$CR$2:$DC$251, Input!$DG239, FALSE)</f>
        <v>71241000</v>
      </c>
      <c r="DF239" s="39">
        <f>+HLOOKUP('Reporte Evolución Mensual'!$F$2,$CR$2:$DC$251, Input!$DG239, FALSE)</f>
        <v>72500000</v>
      </c>
      <c r="DG239" s="40">
        <f t="shared" si="795"/>
        <v>239</v>
      </c>
      <c r="DH239" s="39"/>
      <c r="DI239" s="39"/>
      <c r="DJ239" s="39"/>
      <c r="DK239" s="39"/>
      <c r="DL239" s="39"/>
      <c r="DM239" s="39"/>
      <c r="DN239" s="39"/>
      <c r="DO239" s="58"/>
      <c r="DP239" s="58"/>
      <c r="DQ239" s="58"/>
      <c r="DR239" s="58"/>
      <c r="DS239" s="1"/>
      <c r="DT239" s="1"/>
      <c r="DU239" s="1"/>
      <c r="DV239" s="345" t="s">
        <v>108</v>
      </c>
    </row>
    <row r="240" spans="1:126" ht="15" customHeight="1" x14ac:dyDescent="0.3">
      <c r="A240" s="1" t="str">
        <f t="shared" si="713"/>
        <v>ADIFSE</v>
      </c>
      <c r="B240" s="1" t="str">
        <f t="shared" si="714"/>
        <v>ADIFSE</v>
      </c>
      <c r="C240" s="1" t="str">
        <f t="shared" si="715"/>
        <v>MAY</v>
      </c>
      <c r="D240" s="1" t="s">
        <v>163</v>
      </c>
      <c r="E240" s="113" t="str">
        <f>H240</f>
        <v>Credito Externo</v>
      </c>
      <c r="F240" s="136" t="s">
        <v>281</v>
      </c>
      <c r="G240" s="32" t="s">
        <v>283</v>
      </c>
      <c r="H240" s="32" t="s">
        <v>282</v>
      </c>
      <c r="I240" s="32" t="s">
        <v>282</v>
      </c>
      <c r="J240" s="32" t="s">
        <v>289</v>
      </c>
      <c r="K240" s="38"/>
      <c r="L240" s="34"/>
      <c r="M240" s="34"/>
      <c r="N240" s="34"/>
      <c r="O240" s="34"/>
      <c r="P240" s="34">
        <f>+P214</f>
        <v>0</v>
      </c>
      <c r="Q240" s="35">
        <f t="shared" si="948"/>
        <v>0</v>
      </c>
      <c r="R240" s="34"/>
      <c r="S240" s="34"/>
      <c r="T240" s="34"/>
      <c r="U240" s="34"/>
      <c r="V240" s="38">
        <f>+V214</f>
        <v>75729000</v>
      </c>
      <c r="W240" s="36">
        <f t="shared" si="949"/>
        <v>75729000</v>
      </c>
      <c r="X240" s="34"/>
      <c r="Y240" s="34"/>
      <c r="Z240" s="34"/>
      <c r="AA240" s="34"/>
      <c r="AB240" s="38">
        <f>+AB214</f>
        <v>70308000</v>
      </c>
      <c r="AC240" s="36">
        <f t="shared" si="950"/>
        <v>70308000</v>
      </c>
      <c r="AD240" s="34"/>
      <c r="AE240" s="34"/>
      <c r="AF240" s="34"/>
      <c r="AG240" s="34"/>
      <c r="AH240" s="38">
        <f>+AH214</f>
        <v>83625000</v>
      </c>
      <c r="AI240" s="36">
        <f t="shared" si="951"/>
        <v>83625000</v>
      </c>
      <c r="AJ240" s="34"/>
      <c r="AK240" s="34"/>
      <c r="AL240" s="34"/>
      <c r="AM240" s="34"/>
      <c r="AN240" s="38">
        <f>+AN214</f>
        <v>71241000</v>
      </c>
      <c r="AO240" s="36">
        <f t="shared" si="952"/>
        <v>71241000</v>
      </c>
      <c r="AP240" s="34"/>
      <c r="AQ240" s="34"/>
      <c r="AR240" s="34"/>
      <c r="AS240" s="34"/>
      <c r="AT240" s="38">
        <f>+AT214</f>
        <v>72500000</v>
      </c>
      <c r="AU240" s="36">
        <f t="shared" si="953"/>
        <v>72500000</v>
      </c>
      <c r="AV240" s="34"/>
      <c r="AW240" s="34"/>
      <c r="AX240" s="34"/>
      <c r="AY240" s="34"/>
      <c r="AZ240" s="38">
        <f>+AZ214</f>
        <v>0</v>
      </c>
      <c r="BA240" s="36">
        <f t="shared" si="954"/>
        <v>0</v>
      </c>
      <c r="BB240" s="34"/>
      <c r="BC240" s="34"/>
      <c r="BD240" s="34"/>
      <c r="BE240" s="34"/>
      <c r="BF240" s="38">
        <f>+BF214</f>
        <v>0</v>
      </c>
      <c r="BG240" s="36">
        <f t="shared" si="955"/>
        <v>0</v>
      </c>
      <c r="BH240" s="34"/>
      <c r="BI240" s="34"/>
      <c r="BJ240" s="34"/>
      <c r="BK240" s="34"/>
      <c r="BL240" s="38">
        <f>+BL214</f>
        <v>0</v>
      </c>
      <c r="BM240" s="36">
        <f t="shared" si="956"/>
        <v>0</v>
      </c>
      <c r="BN240" s="34"/>
      <c r="BO240" s="34"/>
      <c r="BP240" s="34"/>
      <c r="BQ240" s="34"/>
      <c r="BR240" s="38">
        <f>+BR214</f>
        <v>0</v>
      </c>
      <c r="BS240" s="36">
        <f t="shared" si="957"/>
        <v>0</v>
      </c>
      <c r="BT240" s="34"/>
      <c r="BU240" s="34"/>
      <c r="BV240" s="34"/>
      <c r="BW240" s="34"/>
      <c r="BX240" s="38">
        <f>+BX214</f>
        <v>0</v>
      </c>
      <c r="BY240" s="36">
        <f t="shared" si="958"/>
        <v>0</v>
      </c>
      <c r="BZ240" s="34"/>
      <c r="CA240" s="34"/>
      <c r="CB240" s="34"/>
      <c r="CC240" s="34"/>
      <c r="CD240" s="38">
        <f>+CD214</f>
        <v>0</v>
      </c>
      <c r="CE240" s="36">
        <f t="shared" si="959"/>
        <v>0</v>
      </c>
      <c r="CF240" s="34"/>
      <c r="CG240" s="34"/>
      <c r="CH240" s="34"/>
      <c r="CI240" s="34"/>
      <c r="CJ240" s="38">
        <f>+CJ214</f>
        <v>0</v>
      </c>
      <c r="CK240" s="71">
        <f t="shared" si="960"/>
        <v>0</v>
      </c>
      <c r="CL240" s="67">
        <f t="shared" si="961"/>
        <v>0</v>
      </c>
      <c r="CM240" s="67">
        <f t="shared" si="961"/>
        <v>0</v>
      </c>
      <c r="CN240" s="67">
        <f t="shared" si="961"/>
        <v>0</v>
      </c>
      <c r="CO240" s="67">
        <f t="shared" si="961"/>
        <v>0</v>
      </c>
      <c r="CP240" s="67">
        <f t="shared" si="961"/>
        <v>373403000</v>
      </c>
      <c r="CQ240" s="67">
        <f t="shared" si="961"/>
        <v>373403000</v>
      </c>
      <c r="CR240" s="37">
        <f t="shared" si="962"/>
        <v>75729000</v>
      </c>
      <c r="CS240" s="39">
        <f t="shared" si="963"/>
        <v>70308000</v>
      </c>
      <c r="CT240" s="53">
        <f t="shared" si="964"/>
        <v>83625000</v>
      </c>
      <c r="CU240" s="39">
        <f t="shared" si="965"/>
        <v>71241000</v>
      </c>
      <c r="CV240" s="39">
        <f t="shared" si="966"/>
        <v>72500000</v>
      </c>
      <c r="CW240" s="39">
        <f t="shared" si="967"/>
        <v>0</v>
      </c>
      <c r="CX240" s="39">
        <f t="shared" si="968"/>
        <v>0</v>
      </c>
      <c r="CY240" s="39">
        <f t="shared" si="969"/>
        <v>0</v>
      </c>
      <c r="CZ240" s="39">
        <f t="shared" si="970"/>
        <v>0</v>
      </c>
      <c r="DA240" s="39">
        <f t="shared" si="971"/>
        <v>0</v>
      </c>
      <c r="DB240" s="39">
        <f t="shared" si="972"/>
        <v>0</v>
      </c>
      <c r="DC240" s="39">
        <f t="shared" si="973"/>
        <v>0</v>
      </c>
      <c r="DD240" s="39">
        <f>+HLOOKUP('Reporte Evolución Mensual'!$F$2-2,$CR$2:$DC$251, Input!$DG240, FALSE)</f>
        <v>728413654.39999998</v>
      </c>
      <c r="DE240" s="39">
        <f>+HLOOKUP('Reporte Evolución Mensual'!$F$2-1,$CR$2:$DC$251, Input!$DG240, FALSE)</f>
        <v>749074322.60570002</v>
      </c>
      <c r="DF240" s="39">
        <f>+HLOOKUP('Reporte Evolución Mensual'!$F$2,$CR$2:$DC$251, Input!$DG240, FALSE)</f>
        <v>799653349.12810004</v>
      </c>
      <c r="DG240" s="40">
        <f t="shared" si="795"/>
        <v>240</v>
      </c>
      <c r="DH240" s="39"/>
      <c r="DI240" s="39"/>
      <c r="DJ240" s="39"/>
      <c r="DK240" s="39"/>
      <c r="DL240" s="39"/>
      <c r="DM240" s="39"/>
      <c r="DN240" s="39"/>
      <c r="DO240" s="58"/>
      <c r="DP240" s="58"/>
      <c r="DQ240" s="58"/>
      <c r="DR240" s="58"/>
      <c r="DS240" s="1"/>
      <c r="DT240" s="1"/>
      <c r="DU240" s="1"/>
      <c r="DV240" s="345" t="s">
        <v>163</v>
      </c>
    </row>
    <row r="241" spans="1:126" ht="15" customHeight="1" x14ac:dyDescent="0.3">
      <c r="A241" s="1" t="str">
        <f t="shared" si="713"/>
        <v>ADIFSE</v>
      </c>
      <c r="B241" s="1" t="str">
        <f t="shared" si="714"/>
        <v>ADIFSE</v>
      </c>
      <c r="C241" s="1" t="str">
        <f t="shared" si="715"/>
        <v>MAY</v>
      </c>
      <c r="D241" s="41" t="s">
        <v>108</v>
      </c>
      <c r="E241" s="117" t="str">
        <f>CONCATENATE(G241," - ",I241)</f>
        <v>Financiamiento Egresos de Capital  - Total</v>
      </c>
      <c r="F241" s="116"/>
      <c r="G241" s="32" t="s">
        <v>283</v>
      </c>
      <c r="H241" s="32" t="s">
        <v>173</v>
      </c>
      <c r="I241" s="32" t="s">
        <v>173</v>
      </c>
      <c r="J241" s="32" t="s">
        <v>289</v>
      </c>
      <c r="K241" s="91"/>
      <c r="L241" s="91">
        <f t="shared" ref="L241:P241" si="974">SUM(L236:L240)</f>
        <v>0</v>
      </c>
      <c r="M241" s="91">
        <f t="shared" si="974"/>
        <v>0</v>
      </c>
      <c r="N241" s="91">
        <f t="shared" si="974"/>
        <v>0</v>
      </c>
      <c r="O241" s="91">
        <f t="shared" si="974"/>
        <v>0</v>
      </c>
      <c r="P241" s="91">
        <f t="shared" si="974"/>
        <v>0</v>
      </c>
      <c r="Q241" s="93">
        <f t="shared" si="948"/>
        <v>0</v>
      </c>
      <c r="R241" s="91">
        <f t="shared" ref="R241:V241" si="975">SUM(R236:R240)</f>
        <v>238339392.13999999</v>
      </c>
      <c r="S241" s="91">
        <f t="shared" si="975"/>
        <v>0</v>
      </c>
      <c r="T241" s="91">
        <f t="shared" si="975"/>
        <v>0</v>
      </c>
      <c r="U241" s="91">
        <f t="shared" si="975"/>
        <v>0</v>
      </c>
      <c r="V241" s="91">
        <f t="shared" si="975"/>
        <v>75729000</v>
      </c>
      <c r="W241" s="92">
        <f t="shared" si="949"/>
        <v>314068392.13999999</v>
      </c>
      <c r="X241" s="91">
        <f t="shared" ref="X241:AB241" si="976">SUM(X236:X240)</f>
        <v>444976437.31999999</v>
      </c>
      <c r="Y241" s="91">
        <f t="shared" si="976"/>
        <v>0</v>
      </c>
      <c r="Z241" s="91">
        <f t="shared" si="976"/>
        <v>0</v>
      </c>
      <c r="AA241" s="91">
        <f t="shared" si="976"/>
        <v>200000000</v>
      </c>
      <c r="AB241" s="91">
        <f t="shared" si="976"/>
        <v>70308000</v>
      </c>
      <c r="AC241" s="92">
        <f t="shared" si="950"/>
        <v>715284437.31999993</v>
      </c>
      <c r="AD241" s="91">
        <f t="shared" ref="AD241:AH241" si="977">SUM(AD236:AD240)</f>
        <v>444788654.39999998</v>
      </c>
      <c r="AE241" s="91">
        <f t="shared" si="977"/>
        <v>0</v>
      </c>
      <c r="AF241" s="91">
        <f t="shared" si="977"/>
        <v>0</v>
      </c>
      <c r="AG241" s="91">
        <f t="shared" si="977"/>
        <v>200000000</v>
      </c>
      <c r="AH241" s="91">
        <f t="shared" si="977"/>
        <v>83625000</v>
      </c>
      <c r="AI241" s="92">
        <f t="shared" si="951"/>
        <v>728413654.39999998</v>
      </c>
      <c r="AJ241" s="91">
        <f t="shared" ref="AJ241:AN241" si="978">SUM(AJ236:AJ240)</f>
        <v>527833322.60570002</v>
      </c>
      <c r="AK241" s="91">
        <f t="shared" si="978"/>
        <v>0</v>
      </c>
      <c r="AL241" s="91">
        <f t="shared" si="978"/>
        <v>0</v>
      </c>
      <c r="AM241" s="91">
        <f t="shared" si="978"/>
        <v>150000000</v>
      </c>
      <c r="AN241" s="91">
        <f t="shared" si="978"/>
        <v>71241000</v>
      </c>
      <c r="AO241" s="92">
        <f t="shared" si="952"/>
        <v>749074322.60570002</v>
      </c>
      <c r="AP241" s="91">
        <f t="shared" ref="AP241:AT241" si="979">SUM(AP236:AP240)</f>
        <v>577153349.12810004</v>
      </c>
      <c r="AQ241" s="91">
        <f t="shared" si="979"/>
        <v>0</v>
      </c>
      <c r="AR241" s="91">
        <f t="shared" si="979"/>
        <v>0</v>
      </c>
      <c r="AS241" s="91">
        <f t="shared" si="979"/>
        <v>150000000</v>
      </c>
      <c r="AT241" s="91">
        <f t="shared" si="979"/>
        <v>72500000</v>
      </c>
      <c r="AU241" s="92">
        <f t="shared" si="953"/>
        <v>799653349.12810004</v>
      </c>
      <c r="AV241" s="91">
        <f t="shared" ref="AV241:AZ241" si="980">SUM(AV236:AV240)</f>
        <v>0</v>
      </c>
      <c r="AW241" s="91">
        <f t="shared" si="980"/>
        <v>0</v>
      </c>
      <c r="AX241" s="91">
        <f t="shared" si="980"/>
        <v>0</v>
      </c>
      <c r="AY241" s="91">
        <f t="shared" si="980"/>
        <v>0</v>
      </c>
      <c r="AZ241" s="91">
        <f t="shared" si="980"/>
        <v>0</v>
      </c>
      <c r="BA241" s="92">
        <f t="shared" si="954"/>
        <v>0</v>
      </c>
      <c r="BB241" s="91">
        <f t="shared" ref="BB241:BF241" si="981">SUM(BB236:BB240)</f>
        <v>0</v>
      </c>
      <c r="BC241" s="91">
        <f t="shared" si="981"/>
        <v>0</v>
      </c>
      <c r="BD241" s="91">
        <f t="shared" si="981"/>
        <v>0</v>
      </c>
      <c r="BE241" s="91">
        <f t="shared" si="981"/>
        <v>0</v>
      </c>
      <c r="BF241" s="91">
        <f t="shared" si="981"/>
        <v>0</v>
      </c>
      <c r="BG241" s="92">
        <f t="shared" si="955"/>
        <v>0</v>
      </c>
      <c r="BH241" s="91">
        <f t="shared" ref="BH241:BL241" si="982">SUM(BH236:BH240)</f>
        <v>0</v>
      </c>
      <c r="BI241" s="91">
        <f t="shared" si="982"/>
        <v>0</v>
      </c>
      <c r="BJ241" s="91">
        <f t="shared" si="982"/>
        <v>0</v>
      </c>
      <c r="BK241" s="91">
        <f t="shared" si="982"/>
        <v>0</v>
      </c>
      <c r="BL241" s="91">
        <f t="shared" si="982"/>
        <v>0</v>
      </c>
      <c r="BM241" s="92">
        <f t="shared" si="956"/>
        <v>0</v>
      </c>
      <c r="BN241" s="91">
        <f t="shared" ref="BN241:BR241" si="983">SUM(BN236:BN240)</f>
        <v>0</v>
      </c>
      <c r="BO241" s="91">
        <f t="shared" si="983"/>
        <v>0</v>
      </c>
      <c r="BP241" s="91">
        <f t="shared" si="983"/>
        <v>0</v>
      </c>
      <c r="BQ241" s="91">
        <f t="shared" si="983"/>
        <v>0</v>
      </c>
      <c r="BR241" s="91">
        <f t="shared" si="983"/>
        <v>0</v>
      </c>
      <c r="BS241" s="92">
        <f t="shared" si="957"/>
        <v>0</v>
      </c>
      <c r="BT241" s="91">
        <f t="shared" ref="BT241:BX241" si="984">SUM(BT236:BT240)</f>
        <v>0</v>
      </c>
      <c r="BU241" s="91">
        <f t="shared" si="984"/>
        <v>0</v>
      </c>
      <c r="BV241" s="91">
        <f t="shared" si="984"/>
        <v>0</v>
      </c>
      <c r="BW241" s="91">
        <f t="shared" si="984"/>
        <v>0</v>
      </c>
      <c r="BX241" s="91">
        <f t="shared" si="984"/>
        <v>0</v>
      </c>
      <c r="BY241" s="92">
        <f t="shared" si="958"/>
        <v>0</v>
      </c>
      <c r="BZ241" s="91">
        <f t="shared" ref="BZ241:CD241" si="985">SUM(BZ236:BZ240)</f>
        <v>0</v>
      </c>
      <c r="CA241" s="91">
        <f t="shared" si="985"/>
        <v>0</v>
      </c>
      <c r="CB241" s="91">
        <f t="shared" si="985"/>
        <v>0</v>
      </c>
      <c r="CC241" s="91">
        <f t="shared" si="985"/>
        <v>0</v>
      </c>
      <c r="CD241" s="91">
        <f t="shared" si="985"/>
        <v>0</v>
      </c>
      <c r="CE241" s="92">
        <f t="shared" si="959"/>
        <v>0</v>
      </c>
      <c r="CF241" s="91">
        <f t="shared" ref="CF241:CJ241" si="986">SUM(CF236:CF240)</f>
        <v>0</v>
      </c>
      <c r="CG241" s="91">
        <f t="shared" si="986"/>
        <v>0</v>
      </c>
      <c r="CH241" s="91">
        <f t="shared" si="986"/>
        <v>0</v>
      </c>
      <c r="CI241" s="91">
        <f t="shared" si="986"/>
        <v>0</v>
      </c>
      <c r="CJ241" s="91">
        <f t="shared" si="986"/>
        <v>0</v>
      </c>
      <c r="CK241" s="86">
        <f t="shared" si="960"/>
        <v>0</v>
      </c>
      <c r="CL241" s="56">
        <f t="shared" si="961"/>
        <v>2233091155.5938001</v>
      </c>
      <c r="CM241" s="56">
        <f t="shared" si="961"/>
        <v>0</v>
      </c>
      <c r="CN241" s="56">
        <f t="shared" si="961"/>
        <v>0</v>
      </c>
      <c r="CO241" s="56">
        <f t="shared" si="961"/>
        <v>700000000</v>
      </c>
      <c r="CP241" s="56">
        <f t="shared" si="961"/>
        <v>373403000</v>
      </c>
      <c r="CQ241" s="56">
        <f t="shared" si="961"/>
        <v>3306494155.5938001</v>
      </c>
      <c r="CR241" s="37">
        <f t="shared" si="962"/>
        <v>314068392.13999999</v>
      </c>
      <c r="CS241" s="39">
        <f t="shared" si="963"/>
        <v>715284437.31999993</v>
      </c>
      <c r="CT241" s="53">
        <f t="shared" si="964"/>
        <v>728413654.39999998</v>
      </c>
      <c r="CU241" s="39">
        <f t="shared" si="965"/>
        <v>749074322.60570002</v>
      </c>
      <c r="CV241" s="39">
        <f t="shared" si="966"/>
        <v>799653349.12810004</v>
      </c>
      <c r="CW241" s="39">
        <f t="shared" si="967"/>
        <v>0</v>
      </c>
      <c r="CX241" s="39">
        <f t="shared" si="968"/>
        <v>0</v>
      </c>
      <c r="CY241" s="39">
        <f t="shared" si="969"/>
        <v>0</v>
      </c>
      <c r="CZ241" s="39">
        <f t="shared" si="970"/>
        <v>0</v>
      </c>
      <c r="DA241" s="39">
        <f t="shared" si="971"/>
        <v>0</v>
      </c>
      <c r="DB241" s="39">
        <f t="shared" si="972"/>
        <v>0</v>
      </c>
      <c r="DC241" s="39">
        <f t="shared" si="973"/>
        <v>0</v>
      </c>
      <c r="DD241" s="39">
        <f>+HLOOKUP('Reporte Evolución Mensual'!$F$2-2,$CR$2:$DC$251, Input!$DG241, FALSE)</f>
        <v>0</v>
      </c>
      <c r="DE241" s="39">
        <f>+HLOOKUP('Reporte Evolución Mensual'!$F$2-1,$CR$2:$DC$251, Input!$DG241, FALSE)</f>
        <v>0</v>
      </c>
      <c r="DF241" s="39">
        <f>+HLOOKUP('Reporte Evolución Mensual'!$F$2,$CR$2:$DC$251, Input!$DG241, FALSE)</f>
        <v>0</v>
      </c>
      <c r="DG241" s="40">
        <f t="shared" si="795"/>
        <v>241</v>
      </c>
      <c r="DH241" s="39"/>
      <c r="DI241" s="39"/>
      <c r="DJ241" s="39"/>
      <c r="DK241" s="39"/>
      <c r="DL241" s="39"/>
      <c r="DM241" s="39"/>
      <c r="DN241" s="39"/>
      <c r="DO241" s="58"/>
      <c r="DP241" s="58"/>
      <c r="DQ241" s="58"/>
      <c r="DR241" s="58"/>
      <c r="DS241" s="41"/>
      <c r="DT241" s="41"/>
      <c r="DU241" s="41"/>
      <c r="DV241" s="345" t="s">
        <v>163</v>
      </c>
    </row>
    <row r="242" spans="1:126" ht="15" customHeight="1" x14ac:dyDescent="0.3">
      <c r="A242" s="1" t="str">
        <f t="shared" si="713"/>
        <v>ADIFSE</v>
      </c>
      <c r="B242" s="1" t="str">
        <f t="shared" si="714"/>
        <v>ADIFSE</v>
      </c>
      <c r="C242" s="1" t="str">
        <f t="shared" si="715"/>
        <v>MAY</v>
      </c>
      <c r="D242" s="41" t="s">
        <v>108</v>
      </c>
      <c r="E242" s="117" t="s">
        <v>333</v>
      </c>
      <c r="F242" s="116"/>
      <c r="G242" s="32"/>
      <c r="H242" s="32"/>
      <c r="I242" s="32"/>
      <c r="J242" s="32"/>
      <c r="K242" s="88"/>
      <c r="L242" s="91"/>
      <c r="M242" s="91"/>
      <c r="N242" s="91"/>
      <c r="O242" s="91"/>
      <c r="P242" s="91"/>
      <c r="Q242" s="93"/>
      <c r="R242" s="91"/>
      <c r="S242" s="91"/>
      <c r="T242" s="91"/>
      <c r="U242" s="91"/>
      <c r="V242" s="91"/>
      <c r="W242" s="92"/>
      <c r="X242" s="91"/>
      <c r="Y242" s="91"/>
      <c r="Z242" s="91"/>
      <c r="AA242" s="91"/>
      <c r="AB242" s="91"/>
      <c r="AC242" s="92"/>
      <c r="AD242" s="91"/>
      <c r="AE242" s="91"/>
      <c r="AF242" s="91"/>
      <c r="AG242" s="91"/>
      <c r="AH242" s="91"/>
      <c r="AI242" s="92"/>
      <c r="AJ242" s="91"/>
      <c r="AK242" s="91"/>
      <c r="AL242" s="91"/>
      <c r="AM242" s="91"/>
      <c r="AN242" s="91"/>
      <c r="AO242" s="92"/>
      <c r="AP242" s="91"/>
      <c r="AQ242" s="91"/>
      <c r="AR242" s="91"/>
      <c r="AS242" s="91"/>
      <c r="AT242" s="91"/>
      <c r="AU242" s="92"/>
      <c r="AV242" s="91"/>
      <c r="AW242" s="91"/>
      <c r="AX242" s="91"/>
      <c r="AY242" s="91"/>
      <c r="AZ242" s="91"/>
      <c r="BA242" s="92"/>
      <c r="BB242" s="91"/>
      <c r="BC242" s="91"/>
      <c r="BD242" s="91"/>
      <c r="BE242" s="91"/>
      <c r="BF242" s="91"/>
      <c r="BG242" s="92"/>
      <c r="BH242" s="91"/>
      <c r="BI242" s="91"/>
      <c r="BJ242" s="91"/>
      <c r="BK242" s="91"/>
      <c r="BL242" s="91"/>
      <c r="BM242" s="92"/>
      <c r="BN242" s="91"/>
      <c r="BO242" s="91"/>
      <c r="BP242" s="91"/>
      <c r="BQ242" s="91"/>
      <c r="BR242" s="91"/>
      <c r="BS242" s="92"/>
      <c r="BT242" s="91"/>
      <c r="BU242" s="91"/>
      <c r="BV242" s="91"/>
      <c r="BW242" s="91"/>
      <c r="BX242" s="91"/>
      <c r="BY242" s="92"/>
      <c r="BZ242" s="91"/>
      <c r="CA242" s="91"/>
      <c r="CB242" s="91"/>
      <c r="CC242" s="91"/>
      <c r="CD242" s="91"/>
      <c r="CE242" s="92"/>
      <c r="CF242" s="91"/>
      <c r="CG242" s="91"/>
      <c r="CH242" s="91"/>
      <c r="CI242" s="91"/>
      <c r="CJ242" s="91"/>
      <c r="CK242" s="86"/>
      <c r="CL242" s="56"/>
      <c r="CM242" s="56"/>
      <c r="CN242" s="56"/>
      <c r="CO242" s="56"/>
      <c r="CP242" s="56"/>
      <c r="CQ242" s="56"/>
      <c r="CR242" s="37"/>
      <c r="CS242" s="39"/>
      <c r="CT242" s="53"/>
      <c r="CU242" s="39"/>
      <c r="CV242" s="39"/>
      <c r="CW242" s="39"/>
      <c r="CX242" s="39"/>
      <c r="CY242" s="39"/>
      <c r="CZ242" s="39"/>
      <c r="DA242" s="39"/>
      <c r="DB242" s="39"/>
      <c r="DC242" s="39"/>
      <c r="DD242" s="39">
        <f>+HLOOKUP('Reporte Evolución Mensual'!$F$2-2,$CR$2:$DC$251, Input!$DG242, FALSE)</f>
        <v>0</v>
      </c>
      <c r="DE242" s="39">
        <f>+HLOOKUP('Reporte Evolución Mensual'!$F$2-1,$CR$2:$DC$251, Input!$DG242, FALSE)</f>
        <v>0</v>
      </c>
      <c r="DF242" s="39">
        <f>+HLOOKUP('Reporte Evolución Mensual'!$F$2,$CR$2:$DC$251, Input!$DG242, FALSE)</f>
        <v>0</v>
      </c>
      <c r="DG242" s="40">
        <f t="shared" si="795"/>
        <v>242</v>
      </c>
      <c r="DH242" s="39"/>
      <c r="DI242" s="39"/>
      <c r="DJ242" s="39"/>
      <c r="DK242" s="39"/>
      <c r="DL242" s="39"/>
      <c r="DM242" s="39"/>
      <c r="DN242" s="39"/>
      <c r="DO242" s="58"/>
      <c r="DP242" s="58"/>
      <c r="DQ242" s="58"/>
      <c r="DR242" s="58"/>
      <c r="DS242" s="41"/>
      <c r="DT242" s="41"/>
      <c r="DU242" s="41"/>
      <c r="DV242" s="345"/>
    </row>
    <row r="243" spans="1:126" ht="15" customHeight="1" x14ac:dyDescent="0.3">
      <c r="A243" s="1" t="str">
        <f t="shared" si="713"/>
        <v>ADIFSE</v>
      </c>
      <c r="B243" s="1" t="str">
        <f t="shared" si="714"/>
        <v>ADIFSE</v>
      </c>
      <c r="C243" s="1" t="str">
        <f t="shared" si="715"/>
        <v>MAY</v>
      </c>
      <c r="D243" s="41" t="s">
        <v>108</v>
      </c>
      <c r="E243" s="115" t="s">
        <v>284</v>
      </c>
      <c r="F243" s="116"/>
      <c r="G243" s="32"/>
      <c r="H243" s="32"/>
      <c r="I243" s="32"/>
      <c r="J243" s="32"/>
      <c r="K243" s="88"/>
      <c r="L243" s="91"/>
      <c r="M243" s="91"/>
      <c r="N243" s="91"/>
      <c r="O243" s="91"/>
      <c r="P243" s="91"/>
      <c r="Q243" s="93"/>
      <c r="R243" s="91"/>
      <c r="S243" s="91"/>
      <c r="T243" s="91"/>
      <c r="U243" s="91"/>
      <c r="V243" s="91"/>
      <c r="W243" s="92"/>
      <c r="X243" s="91"/>
      <c r="Y243" s="91"/>
      <c r="Z243" s="91"/>
      <c r="AA243" s="91"/>
      <c r="AB243" s="91"/>
      <c r="AC243" s="92"/>
      <c r="AD243" s="91"/>
      <c r="AE243" s="91"/>
      <c r="AF243" s="91"/>
      <c r="AG243" s="91"/>
      <c r="AH243" s="91"/>
      <c r="AI243" s="92"/>
      <c r="AJ243" s="91"/>
      <c r="AK243" s="91"/>
      <c r="AL243" s="91"/>
      <c r="AM243" s="91"/>
      <c r="AN243" s="91"/>
      <c r="AO243" s="92"/>
      <c r="AP243" s="91"/>
      <c r="AQ243" s="91"/>
      <c r="AR243" s="91"/>
      <c r="AS243" s="91"/>
      <c r="AT243" s="91"/>
      <c r="AU243" s="92"/>
      <c r="AV243" s="91"/>
      <c r="AW243" s="91"/>
      <c r="AX243" s="91"/>
      <c r="AY243" s="91"/>
      <c r="AZ243" s="91"/>
      <c r="BA243" s="92"/>
      <c r="BB243" s="91"/>
      <c r="BC243" s="91"/>
      <c r="BD243" s="91"/>
      <c r="BE243" s="91"/>
      <c r="BF243" s="91"/>
      <c r="BG243" s="92"/>
      <c r="BH243" s="91"/>
      <c r="BI243" s="91"/>
      <c r="BJ243" s="91"/>
      <c r="BK243" s="91"/>
      <c r="BL243" s="91"/>
      <c r="BM243" s="92"/>
      <c r="BN243" s="91"/>
      <c r="BO243" s="91"/>
      <c r="BP243" s="91"/>
      <c r="BQ243" s="91"/>
      <c r="BR243" s="91"/>
      <c r="BS243" s="92"/>
      <c r="BT243" s="91"/>
      <c r="BU243" s="91"/>
      <c r="BV243" s="91"/>
      <c r="BW243" s="91"/>
      <c r="BX243" s="91"/>
      <c r="BY243" s="92"/>
      <c r="BZ243" s="91"/>
      <c r="CA243" s="91"/>
      <c r="CB243" s="91"/>
      <c r="CC243" s="91"/>
      <c r="CD243" s="91"/>
      <c r="CE243" s="92"/>
      <c r="CF243" s="91"/>
      <c r="CG243" s="91"/>
      <c r="CH243" s="91"/>
      <c r="CI243" s="91"/>
      <c r="CJ243" s="91"/>
      <c r="CK243" s="86"/>
      <c r="CL243" s="56"/>
      <c r="CM243" s="56"/>
      <c r="CN243" s="56"/>
      <c r="CO243" s="56"/>
      <c r="CP243" s="56"/>
      <c r="CQ243" s="56"/>
      <c r="CR243" s="37"/>
      <c r="CS243" s="39"/>
      <c r="CT243" s="53"/>
      <c r="CU243" s="39"/>
      <c r="CV243" s="39"/>
      <c r="CW243" s="39"/>
      <c r="CX243" s="39"/>
      <c r="CY243" s="39"/>
      <c r="CZ243" s="39"/>
      <c r="DA243" s="39"/>
      <c r="DB243" s="39"/>
      <c r="DC243" s="39"/>
      <c r="DD243" s="39">
        <f>+HLOOKUP('Reporte Evolución Mensual'!$F$2-2,$CR$2:$DC$251, Input!$DG243, FALSE)</f>
        <v>0</v>
      </c>
      <c r="DE243" s="39">
        <f>+HLOOKUP('Reporte Evolución Mensual'!$F$2-1,$CR$2:$DC$251, Input!$DG243, FALSE)</f>
        <v>170045480.32684785</v>
      </c>
      <c r="DF243" s="39">
        <f>+HLOOKUP('Reporte Evolución Mensual'!$F$2,$CR$2:$DC$251, Input!$DG243, FALSE)</f>
        <v>14127345.99147588</v>
      </c>
      <c r="DG243" s="40">
        <f t="shared" si="795"/>
        <v>243</v>
      </c>
      <c r="DH243" s="39"/>
      <c r="DI243" s="39"/>
      <c r="DJ243" s="39"/>
      <c r="DK243" s="39"/>
      <c r="DL243" s="39"/>
      <c r="DM243" s="39"/>
      <c r="DN243" s="39"/>
      <c r="DO243" s="58"/>
      <c r="DP243" s="58"/>
      <c r="DQ243" s="58"/>
      <c r="DR243" s="58"/>
      <c r="DS243" s="41"/>
      <c r="DT243" s="41"/>
      <c r="DU243" s="41"/>
      <c r="DV243" s="345"/>
    </row>
    <row r="244" spans="1:126" ht="15" customHeight="1" x14ac:dyDescent="0.3">
      <c r="A244" s="1" t="str">
        <f t="shared" si="713"/>
        <v>ADIFSE</v>
      </c>
      <c r="B244" s="1" t="str">
        <f t="shared" si="714"/>
        <v>ADIFSE</v>
      </c>
      <c r="C244" s="1" t="str">
        <f t="shared" si="715"/>
        <v>MAY</v>
      </c>
      <c r="D244" s="1" t="s">
        <v>163</v>
      </c>
      <c r="E244" s="113" t="str">
        <f>H244</f>
        <v>Tesoro y Crédito Interno</v>
      </c>
      <c r="F244" s="136" t="s">
        <v>272</v>
      </c>
      <c r="G244" s="32" t="s">
        <v>283</v>
      </c>
      <c r="H244" s="32" t="s">
        <v>274</v>
      </c>
      <c r="I244" s="32" t="s">
        <v>274</v>
      </c>
      <c r="J244" s="32" t="s">
        <v>289</v>
      </c>
      <c r="K244" s="38"/>
      <c r="L244" s="38">
        <f t="shared" ref="L244" si="987">+L225</f>
        <v>0</v>
      </c>
      <c r="M244" s="91"/>
      <c r="N244" s="91"/>
      <c r="O244" s="91"/>
      <c r="P244" s="91"/>
      <c r="Q244" s="35">
        <f t="shared" ref="Q244:Q249" si="988">SUM(L244:P244)</f>
        <v>0</v>
      </c>
      <c r="R244" s="38">
        <f t="shared" ref="R244" si="989">+R225</f>
        <v>44168000</v>
      </c>
      <c r="S244" s="91"/>
      <c r="T244" s="91"/>
      <c r="U244" s="91"/>
      <c r="V244" s="91"/>
      <c r="W244" s="36">
        <f t="shared" ref="W244:W249" si="990">SUM(R244:V244)</f>
        <v>44168000</v>
      </c>
      <c r="X244" s="38">
        <f t="shared" ref="X244" si="991">+X225</f>
        <v>0</v>
      </c>
      <c r="Y244" s="91"/>
      <c r="Z244" s="91"/>
      <c r="AA244" s="91"/>
      <c r="AB244" s="91"/>
      <c r="AC244" s="36">
        <f t="shared" ref="AC244:AC249" si="992">SUM(X244:AB244)</f>
        <v>0</v>
      </c>
      <c r="AD244" s="38">
        <f t="shared" ref="AD244" si="993">+AD225</f>
        <v>0</v>
      </c>
      <c r="AE244" s="91"/>
      <c r="AF244" s="91"/>
      <c r="AG244" s="91"/>
      <c r="AH244" s="91"/>
      <c r="AI244" s="36">
        <f t="shared" ref="AI244:AI249" si="994">SUM(AD244:AH244)</f>
        <v>0</v>
      </c>
      <c r="AJ244" s="38">
        <f t="shared" ref="AJ244" si="995">+AJ225</f>
        <v>170045480.32684785</v>
      </c>
      <c r="AK244" s="91"/>
      <c r="AL244" s="91"/>
      <c r="AM244" s="91"/>
      <c r="AN244" s="91"/>
      <c r="AO244" s="36">
        <f t="shared" ref="AO244:AO249" si="996">SUM(AJ244:AN244)</f>
        <v>170045480.32684785</v>
      </c>
      <c r="AP244" s="38">
        <f t="shared" ref="AP244" si="997">+AP225</f>
        <v>14127345.99147588</v>
      </c>
      <c r="AQ244" s="91"/>
      <c r="AR244" s="91"/>
      <c r="AS244" s="91"/>
      <c r="AT244" s="91"/>
      <c r="AU244" s="36">
        <f t="shared" ref="AU244:AU249" si="998">SUM(AP244:AT244)</f>
        <v>14127345.99147588</v>
      </c>
      <c r="AV244" s="38">
        <f t="shared" ref="AV244" si="999">+AV225</f>
        <v>0</v>
      </c>
      <c r="AW244" s="91"/>
      <c r="AX244" s="91"/>
      <c r="AY244" s="91"/>
      <c r="AZ244" s="91"/>
      <c r="BA244" s="36">
        <f t="shared" ref="BA244:BA249" si="1000">SUM(AV244:AZ244)</f>
        <v>0</v>
      </c>
      <c r="BB244" s="38">
        <f t="shared" ref="BB244" si="1001">+BB225</f>
        <v>0</v>
      </c>
      <c r="BC244" s="91"/>
      <c r="BD244" s="91"/>
      <c r="BE244" s="91"/>
      <c r="BF244" s="91"/>
      <c r="BG244" s="36">
        <f t="shared" ref="BG244:BG249" si="1002">SUM(BB244:BF244)</f>
        <v>0</v>
      </c>
      <c r="BH244" s="38">
        <f t="shared" ref="BH244" si="1003">+BH225</f>
        <v>0</v>
      </c>
      <c r="BI244" s="91"/>
      <c r="BJ244" s="91"/>
      <c r="BK244" s="91"/>
      <c r="BL244" s="91"/>
      <c r="BM244" s="36">
        <f t="shared" ref="BM244:BM249" si="1004">SUM(BH244:BL244)</f>
        <v>0</v>
      </c>
      <c r="BN244" s="38">
        <f t="shared" ref="BN244" si="1005">+BN225</f>
        <v>0</v>
      </c>
      <c r="BO244" s="91"/>
      <c r="BP244" s="91"/>
      <c r="BQ244" s="91"/>
      <c r="BR244" s="91"/>
      <c r="BS244" s="36">
        <f t="shared" ref="BS244:BS249" si="1006">SUM(BN244:BR244)</f>
        <v>0</v>
      </c>
      <c r="BT244" s="38">
        <f t="shared" ref="BT244" si="1007">+BT225</f>
        <v>0</v>
      </c>
      <c r="BU244" s="91"/>
      <c r="BV244" s="91"/>
      <c r="BW244" s="91"/>
      <c r="BX244" s="91"/>
      <c r="BY244" s="36">
        <f t="shared" ref="BY244:BY249" si="1008">SUM(BT244:BX244)</f>
        <v>0</v>
      </c>
      <c r="BZ244" s="38">
        <f t="shared" ref="BZ244" si="1009">+BZ225</f>
        <v>0</v>
      </c>
      <c r="CA244" s="91"/>
      <c r="CB244" s="91"/>
      <c r="CC244" s="91"/>
      <c r="CD244" s="91"/>
      <c r="CE244" s="36">
        <f t="shared" ref="CE244:CE249" si="1010">SUM(BZ244:CD244)</f>
        <v>0</v>
      </c>
      <c r="CF244" s="38">
        <f t="shared" ref="CF244" si="1011">+CF225</f>
        <v>0</v>
      </c>
      <c r="CG244" s="91"/>
      <c r="CH244" s="91"/>
      <c r="CI244" s="91"/>
      <c r="CJ244" s="91"/>
      <c r="CK244" s="71">
        <f t="shared" ref="CK244:CK249" si="1012">SUM(CF244:CJ244)</f>
        <v>0</v>
      </c>
      <c r="CL244" s="67">
        <f t="shared" ref="CL244:CQ249" si="1013">+R244+X244+AD244+AJ244+AP244+AV244+BB244+BH244+BN244+BT244+BZ244+CF244</f>
        <v>228340826.31832373</v>
      </c>
      <c r="CM244" s="67">
        <f t="shared" si="1013"/>
        <v>0</v>
      </c>
      <c r="CN244" s="67">
        <f t="shared" si="1013"/>
        <v>0</v>
      </c>
      <c r="CO244" s="67">
        <f t="shared" si="1013"/>
        <v>0</v>
      </c>
      <c r="CP244" s="67">
        <f t="shared" si="1013"/>
        <v>0</v>
      </c>
      <c r="CQ244" s="67">
        <f t="shared" si="1013"/>
        <v>228340826.31832373</v>
      </c>
      <c r="CR244" s="37">
        <f t="shared" ref="CR244:CR249" si="1014">+W244</f>
        <v>44168000</v>
      </c>
      <c r="CS244" s="39">
        <f t="shared" ref="CS244:CS249" si="1015">+AC244</f>
        <v>0</v>
      </c>
      <c r="CT244" s="53">
        <f t="shared" ref="CT244:CT249" si="1016">+AI244</f>
        <v>0</v>
      </c>
      <c r="CU244" s="39">
        <f t="shared" ref="CU244:CU249" si="1017">+AO244</f>
        <v>170045480.32684785</v>
      </c>
      <c r="CV244" s="39">
        <f t="shared" ref="CV244:CV249" si="1018">+AU244</f>
        <v>14127345.99147588</v>
      </c>
      <c r="CW244" s="39">
        <f t="shared" ref="CW244:CW249" si="1019">+BA244</f>
        <v>0</v>
      </c>
      <c r="CX244" s="39">
        <f t="shared" ref="CX244:CX249" si="1020">+BG244</f>
        <v>0</v>
      </c>
      <c r="CY244" s="39">
        <f t="shared" ref="CY244:CY249" si="1021">+BM244</f>
        <v>0</v>
      </c>
      <c r="CZ244" s="39">
        <f t="shared" ref="CZ244:CZ249" si="1022">+BS244</f>
        <v>0</v>
      </c>
      <c r="DA244" s="39">
        <f t="shared" ref="DA244:DA249" si="1023">+BY244</f>
        <v>0</v>
      </c>
      <c r="DB244" s="39">
        <f t="shared" ref="DB244:DB249" si="1024">+CE244</f>
        <v>0</v>
      </c>
      <c r="DC244" s="39">
        <f t="shared" ref="DC244:DC249" si="1025">+CK244</f>
        <v>0</v>
      </c>
      <c r="DD244" s="39">
        <f>+HLOOKUP('Reporte Evolución Mensual'!$F$2-2,$CR$2:$DC$251, Input!$DG244, FALSE)</f>
        <v>10606121.666666666</v>
      </c>
      <c r="DE244" s="39">
        <f>+HLOOKUP('Reporte Evolución Mensual'!$F$2-1,$CR$2:$DC$251, Input!$DG244, FALSE)</f>
        <v>17073825.118291669</v>
      </c>
      <c r="DF244" s="39">
        <f>+HLOOKUP('Reporte Evolución Mensual'!$F$2,$CR$2:$DC$251, Input!$DG244, FALSE)</f>
        <v>15142832.651625</v>
      </c>
      <c r="DG244" s="40">
        <f t="shared" si="795"/>
        <v>244</v>
      </c>
      <c r="DH244" s="39"/>
      <c r="DI244" s="39"/>
      <c r="DJ244" s="39"/>
      <c r="DK244" s="39"/>
      <c r="DL244" s="39"/>
      <c r="DM244" s="39"/>
      <c r="DN244" s="39"/>
      <c r="DO244" s="58"/>
      <c r="DP244" s="58"/>
      <c r="DQ244" s="58"/>
      <c r="DR244" s="58"/>
      <c r="DS244" s="1"/>
      <c r="DT244" s="1"/>
      <c r="DU244" s="1"/>
      <c r="DV244" s="345"/>
    </row>
    <row r="245" spans="1:126" ht="15" customHeight="1" x14ac:dyDescent="0.3">
      <c r="A245" s="1" t="str">
        <f t="shared" si="713"/>
        <v>ADIFSE</v>
      </c>
      <c r="B245" s="1" t="str">
        <f t="shared" si="714"/>
        <v>ADIFSE</v>
      </c>
      <c r="C245" s="1" t="str">
        <f t="shared" si="715"/>
        <v>MAY</v>
      </c>
      <c r="D245" s="1" t="s">
        <v>163</v>
      </c>
      <c r="E245" s="113" t="str">
        <f t="shared" ref="E245:E246" si="1026">H245</f>
        <v>Recursos Propios</v>
      </c>
      <c r="F245" s="136" t="s">
        <v>276</v>
      </c>
      <c r="G245" s="32" t="s">
        <v>273</v>
      </c>
      <c r="H245" s="32" t="s">
        <v>275</v>
      </c>
      <c r="I245" s="32" t="s">
        <v>275</v>
      </c>
      <c r="J245" s="32" t="s">
        <v>289</v>
      </c>
      <c r="K245" s="38"/>
      <c r="L245" s="38"/>
      <c r="M245" s="91">
        <f t="shared" ref="M245" si="1027">+M225</f>
        <v>0</v>
      </c>
      <c r="N245" s="91"/>
      <c r="O245" s="91"/>
      <c r="P245" s="91"/>
      <c r="Q245" s="93">
        <f t="shared" si="988"/>
        <v>0</v>
      </c>
      <c r="R245" s="38"/>
      <c r="S245" s="91">
        <f t="shared" ref="S245" si="1028">+S225</f>
        <v>7628000</v>
      </c>
      <c r="T245" s="91"/>
      <c r="U245" s="91"/>
      <c r="V245" s="91"/>
      <c r="W245" s="92">
        <f t="shared" si="990"/>
        <v>7628000</v>
      </c>
      <c r="X245" s="38"/>
      <c r="Y245" s="91">
        <f t="shared" ref="Y245" si="1029">+Y225</f>
        <v>8100000</v>
      </c>
      <c r="Z245" s="91"/>
      <c r="AA245" s="91"/>
      <c r="AB245" s="91"/>
      <c r="AC245" s="92">
        <f t="shared" si="992"/>
        <v>8100000</v>
      </c>
      <c r="AD245" s="38"/>
      <c r="AE245" s="91">
        <f t="shared" ref="AE245" si="1030">+AE225</f>
        <v>10606121.666666666</v>
      </c>
      <c r="AF245" s="91"/>
      <c r="AG245" s="91"/>
      <c r="AH245" s="91"/>
      <c r="AI245" s="92">
        <f t="shared" si="994"/>
        <v>10606121.666666666</v>
      </c>
      <c r="AJ245" s="38"/>
      <c r="AK245" s="91">
        <f t="shared" ref="AK245" si="1031">+AK225</f>
        <v>17073825.118291669</v>
      </c>
      <c r="AL245" s="91"/>
      <c r="AM245" s="91"/>
      <c r="AN245" s="91"/>
      <c r="AO245" s="92">
        <f t="shared" si="996"/>
        <v>17073825.118291669</v>
      </c>
      <c r="AP245" s="38"/>
      <c r="AQ245" s="91">
        <f t="shared" ref="AQ245" si="1032">+AQ225</f>
        <v>15142832.651625</v>
      </c>
      <c r="AR245" s="91"/>
      <c r="AS245" s="91"/>
      <c r="AT245" s="91"/>
      <c r="AU245" s="92">
        <f t="shared" si="998"/>
        <v>15142832.651625</v>
      </c>
      <c r="AV245" s="38"/>
      <c r="AW245" s="91">
        <f t="shared" ref="AW245" si="1033">+AW225</f>
        <v>7990453.4516249998</v>
      </c>
      <c r="AX245" s="91"/>
      <c r="AY245" s="91"/>
      <c r="AZ245" s="91"/>
      <c r="BA245" s="92">
        <f t="shared" si="1000"/>
        <v>7990453.4516249998</v>
      </c>
      <c r="BB245" s="38"/>
      <c r="BC245" s="91">
        <f t="shared" ref="BC245" si="1034">+BC225</f>
        <v>7990453.4516249895</v>
      </c>
      <c r="BD245" s="91"/>
      <c r="BE245" s="91"/>
      <c r="BF245" s="91"/>
      <c r="BG245" s="92">
        <f t="shared" si="1002"/>
        <v>7990453.4516249895</v>
      </c>
      <c r="BH245" s="38"/>
      <c r="BI245" s="91">
        <f t="shared" ref="BI245" si="1035">+BI225</f>
        <v>148936853.45162499</v>
      </c>
      <c r="BJ245" s="91"/>
      <c r="BK245" s="91"/>
      <c r="BL245" s="91"/>
      <c r="BM245" s="92">
        <f t="shared" si="1004"/>
        <v>148936853.45162499</v>
      </c>
      <c r="BN245" s="38"/>
      <c r="BO245" s="91">
        <f t="shared" ref="BO245" si="1036">+BO225</f>
        <v>16411149.984999999</v>
      </c>
      <c r="BP245" s="91"/>
      <c r="BQ245" s="91"/>
      <c r="BR245" s="91"/>
      <c r="BS245" s="92">
        <f t="shared" si="1006"/>
        <v>16411149.984999999</v>
      </c>
      <c r="BT245" s="38"/>
      <c r="BU245" s="91">
        <f t="shared" ref="BU245" si="1037">+BU225</f>
        <v>10894847.35</v>
      </c>
      <c r="BV245" s="91"/>
      <c r="BW245" s="91"/>
      <c r="BX245" s="91"/>
      <c r="BY245" s="92">
        <f t="shared" si="1008"/>
        <v>10894847.35</v>
      </c>
      <c r="BZ245" s="38"/>
      <c r="CA245" s="91">
        <f t="shared" ref="CA245" si="1038">+CA225</f>
        <v>16066952.449999999</v>
      </c>
      <c r="CB245" s="91"/>
      <c r="CC245" s="91"/>
      <c r="CD245" s="91"/>
      <c r="CE245" s="92">
        <f t="shared" si="1010"/>
        <v>16066952.449999999</v>
      </c>
      <c r="CF245" s="38"/>
      <c r="CG245" s="91">
        <f t="shared" ref="CG245" si="1039">+CG225</f>
        <v>4305900</v>
      </c>
      <c r="CH245" s="91"/>
      <c r="CI245" s="91"/>
      <c r="CJ245" s="91"/>
      <c r="CK245" s="71">
        <f t="shared" si="1012"/>
        <v>4305900</v>
      </c>
      <c r="CL245" s="67">
        <f t="shared" si="1013"/>
        <v>0</v>
      </c>
      <c r="CM245" s="67">
        <f t="shared" si="1013"/>
        <v>271147389.57645833</v>
      </c>
      <c r="CN245" s="67">
        <f t="shared" si="1013"/>
        <v>0</v>
      </c>
      <c r="CO245" s="67">
        <f t="shared" si="1013"/>
        <v>0</v>
      </c>
      <c r="CP245" s="67">
        <f t="shared" si="1013"/>
        <v>0</v>
      </c>
      <c r="CQ245" s="67">
        <f t="shared" si="1013"/>
        <v>271147389.57645833</v>
      </c>
      <c r="CR245" s="37">
        <f t="shared" si="1014"/>
        <v>7628000</v>
      </c>
      <c r="CS245" s="39">
        <f t="shared" si="1015"/>
        <v>8100000</v>
      </c>
      <c r="CT245" s="53">
        <f t="shared" si="1016"/>
        <v>10606121.666666666</v>
      </c>
      <c r="CU245" s="39">
        <f t="shared" si="1017"/>
        <v>17073825.118291669</v>
      </c>
      <c r="CV245" s="39">
        <f t="shared" si="1018"/>
        <v>15142832.651625</v>
      </c>
      <c r="CW245" s="39">
        <f t="shared" si="1019"/>
        <v>7990453.4516249998</v>
      </c>
      <c r="CX245" s="39">
        <f t="shared" si="1020"/>
        <v>7990453.4516249895</v>
      </c>
      <c r="CY245" s="39">
        <f t="shared" si="1021"/>
        <v>148936853.45162499</v>
      </c>
      <c r="CZ245" s="39">
        <f t="shared" si="1022"/>
        <v>16411149.984999999</v>
      </c>
      <c r="DA245" s="39">
        <f t="shared" si="1023"/>
        <v>10894847.35</v>
      </c>
      <c r="DB245" s="39">
        <f t="shared" si="1024"/>
        <v>16066952.449999999</v>
      </c>
      <c r="DC245" s="39">
        <f t="shared" si="1025"/>
        <v>4305900</v>
      </c>
      <c r="DD245" s="39">
        <f>+HLOOKUP('Reporte Evolución Mensual'!$F$2-2,$CR$2:$DC$251, Input!$DG245, FALSE)</f>
        <v>0</v>
      </c>
      <c r="DE245" s="39">
        <f>+HLOOKUP('Reporte Evolución Mensual'!$F$2-1,$CR$2:$DC$251, Input!$DG245, FALSE)</f>
        <v>0</v>
      </c>
      <c r="DF245" s="39">
        <f>+HLOOKUP('Reporte Evolución Mensual'!$F$2,$CR$2:$DC$251, Input!$DG245, FALSE)</f>
        <v>0</v>
      </c>
      <c r="DG245" s="40">
        <f t="shared" si="795"/>
        <v>245</v>
      </c>
      <c r="DH245" s="39"/>
      <c r="DI245" s="39"/>
      <c r="DJ245" s="39"/>
      <c r="DK245" s="39"/>
      <c r="DL245" s="39"/>
      <c r="DM245" s="39"/>
      <c r="DN245" s="39"/>
      <c r="DO245" s="58"/>
      <c r="DP245" s="58"/>
      <c r="DQ245" s="58"/>
      <c r="DR245" s="58"/>
      <c r="DS245" s="1"/>
      <c r="DT245" s="1"/>
      <c r="DU245" s="1"/>
      <c r="DV245" s="345" t="s">
        <v>163</v>
      </c>
    </row>
    <row r="246" spans="1:126" ht="15" customHeight="1" x14ac:dyDescent="0.3">
      <c r="A246" s="1" t="str">
        <f t="shared" si="713"/>
        <v>ADIFSE</v>
      </c>
      <c r="B246" s="1" t="str">
        <f t="shared" si="714"/>
        <v>ADIFSE</v>
      </c>
      <c r="C246" s="1" t="str">
        <f t="shared" si="715"/>
        <v>MAY</v>
      </c>
      <c r="D246" s="1" t="s">
        <v>163</v>
      </c>
      <c r="E246" s="113" t="str">
        <f t="shared" si="1026"/>
        <v>Recursos con afectación</v>
      </c>
      <c r="F246" s="136" t="s">
        <v>278</v>
      </c>
      <c r="G246" s="32" t="s">
        <v>273</v>
      </c>
      <c r="H246" s="32" t="s">
        <v>279</v>
      </c>
      <c r="I246" s="32" t="s">
        <v>279</v>
      </c>
      <c r="J246" s="32" t="s">
        <v>289</v>
      </c>
      <c r="K246" s="38"/>
      <c r="L246" s="38"/>
      <c r="M246" s="91"/>
      <c r="N246" s="91">
        <f t="shared" ref="N246" si="1040">+N225</f>
        <v>0</v>
      </c>
      <c r="O246" s="91"/>
      <c r="P246" s="91"/>
      <c r="Q246" s="93">
        <f t="shared" si="988"/>
        <v>0</v>
      </c>
      <c r="R246" s="38"/>
      <c r="S246" s="91"/>
      <c r="T246" s="91">
        <f t="shared" ref="T246" si="1041">+T225</f>
        <v>0</v>
      </c>
      <c r="U246" s="91"/>
      <c r="V246" s="91"/>
      <c r="W246" s="92">
        <f t="shared" si="990"/>
        <v>0</v>
      </c>
      <c r="X246" s="38"/>
      <c r="Y246" s="91"/>
      <c r="Z246" s="91">
        <f t="shared" ref="Z246" si="1042">+Z225</f>
        <v>0</v>
      </c>
      <c r="AA246" s="91"/>
      <c r="AB246" s="91"/>
      <c r="AC246" s="92">
        <f t="shared" si="992"/>
        <v>0</v>
      </c>
      <c r="AD246" s="38"/>
      <c r="AE246" s="91"/>
      <c r="AF246" s="91">
        <f t="shared" ref="AF246" si="1043">+AF225</f>
        <v>0</v>
      </c>
      <c r="AG246" s="91"/>
      <c r="AH246" s="91"/>
      <c r="AI246" s="92">
        <f t="shared" si="994"/>
        <v>0</v>
      </c>
      <c r="AJ246" s="38"/>
      <c r="AK246" s="91"/>
      <c r="AL246" s="91">
        <f t="shared" ref="AL246" si="1044">+AL225</f>
        <v>0</v>
      </c>
      <c r="AM246" s="91"/>
      <c r="AN246" s="91"/>
      <c r="AO246" s="92">
        <f t="shared" si="996"/>
        <v>0</v>
      </c>
      <c r="AP246" s="38"/>
      <c r="AQ246" s="91"/>
      <c r="AR246" s="91">
        <f t="shared" ref="AR246" si="1045">+AR225</f>
        <v>0</v>
      </c>
      <c r="AS246" s="91"/>
      <c r="AT246" s="91"/>
      <c r="AU246" s="92">
        <f t="shared" si="998"/>
        <v>0</v>
      </c>
      <c r="AV246" s="38"/>
      <c r="AW246" s="91"/>
      <c r="AX246" s="91">
        <f t="shared" ref="AX246" si="1046">+AX225</f>
        <v>0</v>
      </c>
      <c r="AY246" s="91"/>
      <c r="AZ246" s="91"/>
      <c r="BA246" s="92">
        <f t="shared" si="1000"/>
        <v>0</v>
      </c>
      <c r="BB246" s="38"/>
      <c r="BC246" s="91"/>
      <c r="BD246" s="91">
        <f t="shared" ref="BD246" si="1047">+BD225</f>
        <v>0</v>
      </c>
      <c r="BE246" s="91"/>
      <c r="BF246" s="91"/>
      <c r="BG246" s="92">
        <f t="shared" si="1002"/>
        <v>0</v>
      </c>
      <c r="BH246" s="38"/>
      <c r="BI246" s="91"/>
      <c r="BJ246" s="91">
        <f t="shared" ref="BJ246" si="1048">+BJ225</f>
        <v>0</v>
      </c>
      <c r="BK246" s="91"/>
      <c r="BL246" s="91"/>
      <c r="BM246" s="92">
        <f t="shared" si="1004"/>
        <v>0</v>
      </c>
      <c r="BN246" s="38"/>
      <c r="BO246" s="91"/>
      <c r="BP246" s="91">
        <f t="shared" ref="BP246" si="1049">+BP225</f>
        <v>0</v>
      </c>
      <c r="BQ246" s="91"/>
      <c r="BR246" s="91"/>
      <c r="BS246" s="92">
        <f t="shared" si="1006"/>
        <v>0</v>
      </c>
      <c r="BT246" s="38"/>
      <c r="BU246" s="91"/>
      <c r="BV246" s="91">
        <f t="shared" ref="BV246" si="1050">+BV225</f>
        <v>0</v>
      </c>
      <c r="BW246" s="91"/>
      <c r="BX246" s="91"/>
      <c r="BY246" s="92">
        <f t="shared" si="1008"/>
        <v>0</v>
      </c>
      <c r="BZ246" s="38"/>
      <c r="CA246" s="91"/>
      <c r="CB246" s="91">
        <f t="shared" ref="CB246" si="1051">+CB225</f>
        <v>0</v>
      </c>
      <c r="CC246" s="91"/>
      <c r="CD246" s="91"/>
      <c r="CE246" s="92">
        <f t="shared" si="1010"/>
        <v>0</v>
      </c>
      <c r="CF246" s="38"/>
      <c r="CG246" s="91"/>
      <c r="CH246" s="91">
        <f t="shared" ref="CH246" si="1052">+CH225</f>
        <v>0</v>
      </c>
      <c r="CI246" s="91"/>
      <c r="CJ246" s="91"/>
      <c r="CK246" s="71">
        <f t="shared" si="1012"/>
        <v>0</v>
      </c>
      <c r="CL246" s="67">
        <f t="shared" si="1013"/>
        <v>0</v>
      </c>
      <c r="CM246" s="67">
        <f t="shared" si="1013"/>
        <v>0</v>
      </c>
      <c r="CN246" s="67">
        <f t="shared" si="1013"/>
        <v>0</v>
      </c>
      <c r="CO246" s="67">
        <f t="shared" si="1013"/>
        <v>0</v>
      </c>
      <c r="CP246" s="67">
        <f t="shared" si="1013"/>
        <v>0</v>
      </c>
      <c r="CQ246" s="67">
        <f t="shared" si="1013"/>
        <v>0</v>
      </c>
      <c r="CR246" s="37">
        <f t="shared" si="1014"/>
        <v>0</v>
      </c>
      <c r="CS246" s="39">
        <f t="shared" si="1015"/>
        <v>0</v>
      </c>
      <c r="CT246" s="53">
        <f t="shared" si="1016"/>
        <v>0</v>
      </c>
      <c r="CU246" s="39">
        <f t="shared" si="1017"/>
        <v>0</v>
      </c>
      <c r="CV246" s="39">
        <f t="shared" si="1018"/>
        <v>0</v>
      </c>
      <c r="CW246" s="39">
        <f t="shared" si="1019"/>
        <v>0</v>
      </c>
      <c r="CX246" s="39">
        <f t="shared" si="1020"/>
        <v>0</v>
      </c>
      <c r="CY246" s="39">
        <f t="shared" si="1021"/>
        <v>0</v>
      </c>
      <c r="CZ246" s="39">
        <f t="shared" si="1022"/>
        <v>0</v>
      </c>
      <c r="DA246" s="39">
        <f t="shared" si="1023"/>
        <v>0</v>
      </c>
      <c r="DB246" s="39">
        <f t="shared" si="1024"/>
        <v>0</v>
      </c>
      <c r="DC246" s="39">
        <f t="shared" si="1025"/>
        <v>0</v>
      </c>
      <c r="DD246" s="39">
        <f>+HLOOKUP('Reporte Evolución Mensual'!$F$2-2,$CR$2:$DC$251, Input!$DG246, FALSE)</f>
        <v>0</v>
      </c>
      <c r="DE246" s="39">
        <f>+HLOOKUP('Reporte Evolución Mensual'!$F$2-1,$CR$2:$DC$251, Input!$DG246, FALSE)</f>
        <v>0</v>
      </c>
      <c r="DF246" s="39">
        <f>+HLOOKUP('Reporte Evolución Mensual'!$F$2,$CR$2:$DC$251, Input!$DG246, FALSE)</f>
        <v>0</v>
      </c>
      <c r="DG246" s="40">
        <f t="shared" si="795"/>
        <v>246</v>
      </c>
      <c r="DH246" s="39"/>
      <c r="DI246" s="39"/>
      <c r="DJ246" s="39"/>
      <c r="DK246" s="39"/>
      <c r="DL246" s="39"/>
      <c r="DM246" s="39"/>
      <c r="DN246" s="39"/>
      <c r="DO246" s="58"/>
      <c r="DP246" s="58"/>
      <c r="DQ246" s="58"/>
      <c r="DR246" s="58"/>
      <c r="DS246" s="1"/>
      <c r="DT246" s="1"/>
      <c r="DU246" s="1"/>
      <c r="DV246" s="345" t="s">
        <v>163</v>
      </c>
    </row>
    <row r="247" spans="1:126" ht="15" customHeight="1" x14ac:dyDescent="0.3">
      <c r="A247" s="1" t="str">
        <f t="shared" si="713"/>
        <v>ADIFSE</v>
      </c>
      <c r="B247" s="1" t="str">
        <f t="shared" si="714"/>
        <v>ADIFSE</v>
      </c>
      <c r="C247" s="1" t="str">
        <f t="shared" si="715"/>
        <v>MAY</v>
      </c>
      <c r="D247" s="1" t="s">
        <v>163</v>
      </c>
      <c r="E247" s="113" t="str">
        <f>H247</f>
        <v>Otros</v>
      </c>
      <c r="F247" s="136" t="s">
        <v>280</v>
      </c>
      <c r="G247" s="32" t="s">
        <v>283</v>
      </c>
      <c r="H247" s="32" t="s">
        <v>202</v>
      </c>
      <c r="I247" s="32" t="s">
        <v>202</v>
      </c>
      <c r="J247" s="32" t="s">
        <v>289</v>
      </c>
      <c r="K247" s="38"/>
      <c r="L247" s="34"/>
      <c r="M247" s="34"/>
      <c r="N247" s="34"/>
      <c r="O247" s="38">
        <f t="shared" ref="O247" si="1053">+O225</f>
        <v>0</v>
      </c>
      <c r="P247" s="38"/>
      <c r="Q247" s="35">
        <f t="shared" si="988"/>
        <v>0</v>
      </c>
      <c r="R247" s="34"/>
      <c r="S247" s="34"/>
      <c r="T247" s="34"/>
      <c r="U247" s="38">
        <f t="shared" ref="U247" si="1054">+U225</f>
        <v>0</v>
      </c>
      <c r="V247" s="34"/>
      <c r="W247" s="36">
        <f t="shared" si="990"/>
        <v>0</v>
      </c>
      <c r="X247" s="34"/>
      <c r="Y247" s="34"/>
      <c r="Z247" s="34"/>
      <c r="AA247" s="38">
        <f t="shared" ref="AA247" si="1055">+AA225</f>
        <v>0</v>
      </c>
      <c r="AB247" s="34"/>
      <c r="AC247" s="36">
        <f t="shared" si="992"/>
        <v>0</v>
      </c>
      <c r="AD247" s="34"/>
      <c r="AE247" s="34"/>
      <c r="AF247" s="34"/>
      <c r="AG247" s="38">
        <f t="shared" ref="AG247" si="1056">+AG225</f>
        <v>0</v>
      </c>
      <c r="AH247" s="34"/>
      <c r="AI247" s="36">
        <f t="shared" si="994"/>
        <v>0</v>
      </c>
      <c r="AJ247" s="34"/>
      <c r="AK247" s="34"/>
      <c r="AL247" s="34"/>
      <c r="AM247" s="38">
        <f t="shared" ref="AM247" si="1057">+AM225</f>
        <v>0</v>
      </c>
      <c r="AN247" s="34"/>
      <c r="AO247" s="36">
        <f t="shared" si="996"/>
        <v>0</v>
      </c>
      <c r="AP247" s="34"/>
      <c r="AQ247" s="34"/>
      <c r="AR247" s="34"/>
      <c r="AS247" s="38">
        <f t="shared" ref="AS247" si="1058">+AS225</f>
        <v>0</v>
      </c>
      <c r="AT247" s="34"/>
      <c r="AU247" s="36">
        <f t="shared" si="998"/>
        <v>0</v>
      </c>
      <c r="AV247" s="34"/>
      <c r="AW247" s="34"/>
      <c r="AX247" s="34"/>
      <c r="AY247" s="38">
        <f t="shared" ref="AY247" si="1059">+AY225</f>
        <v>408.00852409005165</v>
      </c>
      <c r="AZ247" s="34"/>
      <c r="BA247" s="36">
        <f t="shared" si="1000"/>
        <v>408.00852409005165</v>
      </c>
      <c r="BB247" s="34"/>
      <c r="BC247" s="34"/>
      <c r="BD247" s="34"/>
      <c r="BE247" s="38">
        <f t="shared" ref="BE247" si="1060">+BE225</f>
        <v>0</v>
      </c>
      <c r="BF247" s="34"/>
      <c r="BG247" s="36">
        <f t="shared" si="1002"/>
        <v>0</v>
      </c>
      <c r="BH247" s="34"/>
      <c r="BI247" s="34"/>
      <c r="BJ247" s="34"/>
      <c r="BK247" s="38">
        <f t="shared" ref="BK247" si="1061">+BK225</f>
        <v>0</v>
      </c>
      <c r="BL247" s="34"/>
      <c r="BM247" s="36">
        <f t="shared" si="1004"/>
        <v>0</v>
      </c>
      <c r="BN247" s="34"/>
      <c r="BO247" s="34"/>
      <c r="BP247" s="34"/>
      <c r="BQ247" s="38">
        <f t="shared" ref="BQ247" si="1062">+BQ225</f>
        <v>0</v>
      </c>
      <c r="BR247" s="34"/>
      <c r="BS247" s="36">
        <f t="shared" si="1006"/>
        <v>0</v>
      </c>
      <c r="BT247" s="34"/>
      <c r="BU247" s="34"/>
      <c r="BV247" s="34"/>
      <c r="BW247" s="38">
        <f t="shared" ref="BW247" si="1063">+BW225</f>
        <v>0</v>
      </c>
      <c r="BX247" s="34"/>
      <c r="BY247" s="36">
        <f t="shared" si="1008"/>
        <v>0</v>
      </c>
      <c r="BZ247" s="34"/>
      <c r="CA247" s="34"/>
      <c r="CB247" s="34"/>
      <c r="CC247" s="38">
        <f t="shared" ref="CC247" si="1064">+CC225</f>
        <v>0</v>
      </c>
      <c r="CD247" s="34"/>
      <c r="CE247" s="36">
        <f t="shared" si="1010"/>
        <v>0</v>
      </c>
      <c r="CF247" s="34"/>
      <c r="CG247" s="34"/>
      <c r="CH247" s="34"/>
      <c r="CI247" s="38">
        <f t="shared" ref="CI247" si="1065">+CI225</f>
        <v>0</v>
      </c>
      <c r="CJ247" s="34"/>
      <c r="CK247" s="71">
        <f t="shared" si="1012"/>
        <v>0</v>
      </c>
      <c r="CL247" s="67">
        <f t="shared" si="1013"/>
        <v>0</v>
      </c>
      <c r="CM247" s="67">
        <f t="shared" si="1013"/>
        <v>0</v>
      </c>
      <c r="CN247" s="67">
        <f t="shared" si="1013"/>
        <v>0</v>
      </c>
      <c r="CO247" s="67">
        <f t="shared" si="1013"/>
        <v>408.00852409005165</v>
      </c>
      <c r="CP247" s="67">
        <f t="shared" si="1013"/>
        <v>0</v>
      </c>
      <c r="CQ247" s="67">
        <f t="shared" si="1013"/>
        <v>408.00852409005165</v>
      </c>
      <c r="CR247" s="37">
        <f t="shared" si="1014"/>
        <v>0</v>
      </c>
      <c r="CS247" s="39">
        <f t="shared" si="1015"/>
        <v>0</v>
      </c>
      <c r="CT247" s="53">
        <f t="shared" si="1016"/>
        <v>0</v>
      </c>
      <c r="CU247" s="39">
        <f t="shared" si="1017"/>
        <v>0</v>
      </c>
      <c r="CV247" s="39">
        <f t="shared" si="1018"/>
        <v>0</v>
      </c>
      <c r="CW247" s="39">
        <f t="shared" si="1019"/>
        <v>408.00852409005165</v>
      </c>
      <c r="CX247" s="39">
        <f t="shared" si="1020"/>
        <v>0</v>
      </c>
      <c r="CY247" s="39">
        <f t="shared" si="1021"/>
        <v>0</v>
      </c>
      <c r="CZ247" s="39">
        <f t="shared" si="1022"/>
        <v>0</v>
      </c>
      <c r="DA247" s="39">
        <f t="shared" si="1023"/>
        <v>0</v>
      </c>
      <c r="DB247" s="39">
        <f t="shared" si="1024"/>
        <v>0</v>
      </c>
      <c r="DC247" s="39">
        <f t="shared" si="1025"/>
        <v>0</v>
      </c>
      <c r="DD247" s="39">
        <f>+HLOOKUP('Reporte Evolución Mensual'!$F$2-2,$CR$2:$DC$251, Input!$DG247, FALSE)</f>
        <v>0</v>
      </c>
      <c r="DE247" s="39">
        <f>+HLOOKUP('Reporte Evolución Mensual'!$F$2-1,$CR$2:$DC$251, Input!$DG247, FALSE)</f>
        <v>0</v>
      </c>
      <c r="DF247" s="39">
        <f>+HLOOKUP('Reporte Evolución Mensual'!$F$2,$CR$2:$DC$251, Input!$DG247, FALSE)</f>
        <v>0</v>
      </c>
      <c r="DG247" s="40">
        <f t="shared" si="795"/>
        <v>247</v>
      </c>
      <c r="DH247" s="39"/>
      <c r="DI247" s="39"/>
      <c r="DJ247" s="39"/>
      <c r="DK247" s="39"/>
      <c r="DL247" s="39"/>
      <c r="DM247" s="39"/>
      <c r="DN247" s="39"/>
      <c r="DO247" s="58"/>
      <c r="DP247" s="58"/>
      <c r="DQ247" s="58"/>
      <c r="DR247" s="58"/>
      <c r="DS247" s="1"/>
      <c r="DT247" s="1"/>
      <c r="DU247" s="1"/>
      <c r="DV247" s="345" t="s">
        <v>108</v>
      </c>
    </row>
    <row r="248" spans="1:126" ht="15" customHeight="1" x14ac:dyDescent="0.3">
      <c r="A248" s="1" t="str">
        <f t="shared" si="713"/>
        <v>ADIFSE</v>
      </c>
      <c r="B248" s="1" t="str">
        <f t="shared" si="714"/>
        <v>ADIFSE</v>
      </c>
      <c r="C248" s="1" t="str">
        <f t="shared" si="715"/>
        <v>MAY</v>
      </c>
      <c r="D248" s="1" t="s">
        <v>163</v>
      </c>
      <c r="E248" s="113" t="str">
        <f>H248</f>
        <v>Credito Externo</v>
      </c>
      <c r="F248" s="136" t="s">
        <v>281</v>
      </c>
      <c r="G248" s="32" t="s">
        <v>283</v>
      </c>
      <c r="H248" s="32" t="s">
        <v>282</v>
      </c>
      <c r="I248" s="32" t="s">
        <v>282</v>
      </c>
      <c r="J248" s="32" t="s">
        <v>289</v>
      </c>
      <c r="K248" s="38"/>
      <c r="L248" s="34"/>
      <c r="M248" s="34"/>
      <c r="N248" s="34"/>
      <c r="O248" s="34"/>
      <c r="P248" s="34">
        <f t="shared" ref="P248" si="1066">+P225</f>
        <v>0</v>
      </c>
      <c r="Q248" s="35">
        <f t="shared" si="988"/>
        <v>0</v>
      </c>
      <c r="R248" s="34"/>
      <c r="S248" s="34"/>
      <c r="T248" s="34"/>
      <c r="U248" s="34"/>
      <c r="V248" s="38">
        <f t="shared" ref="V248" si="1067">+V225</f>
        <v>0</v>
      </c>
      <c r="W248" s="36">
        <f t="shared" si="990"/>
        <v>0</v>
      </c>
      <c r="X248" s="34"/>
      <c r="Y248" s="34"/>
      <c r="Z248" s="34"/>
      <c r="AA248" s="34"/>
      <c r="AB248" s="38">
        <f t="shared" ref="AB248" si="1068">+AB225</f>
        <v>0</v>
      </c>
      <c r="AC248" s="36">
        <f t="shared" si="992"/>
        <v>0</v>
      </c>
      <c r="AD248" s="34"/>
      <c r="AE248" s="34"/>
      <c r="AF248" s="34"/>
      <c r="AG248" s="34"/>
      <c r="AH248" s="38">
        <f t="shared" ref="AH248" si="1069">+AH225</f>
        <v>0</v>
      </c>
      <c r="AI248" s="36">
        <f t="shared" si="994"/>
        <v>0</v>
      </c>
      <c r="AJ248" s="34"/>
      <c r="AK248" s="34"/>
      <c r="AL248" s="34"/>
      <c r="AM248" s="34"/>
      <c r="AN248" s="38">
        <f t="shared" ref="AN248" si="1070">+AN225</f>
        <v>0</v>
      </c>
      <c r="AO248" s="36">
        <f t="shared" si="996"/>
        <v>0</v>
      </c>
      <c r="AP248" s="34"/>
      <c r="AQ248" s="34"/>
      <c r="AR248" s="34"/>
      <c r="AS248" s="34"/>
      <c r="AT248" s="38">
        <f t="shared" ref="AT248" si="1071">+AT225</f>
        <v>0</v>
      </c>
      <c r="AU248" s="36">
        <f t="shared" si="998"/>
        <v>0</v>
      </c>
      <c r="AV248" s="34"/>
      <c r="AW248" s="34"/>
      <c r="AX248" s="34"/>
      <c r="AY248" s="34"/>
      <c r="AZ248" s="38">
        <f t="shared" ref="AZ248" si="1072">+AZ225</f>
        <v>0</v>
      </c>
      <c r="BA248" s="36">
        <f t="shared" si="1000"/>
        <v>0</v>
      </c>
      <c r="BB248" s="34"/>
      <c r="BC248" s="34"/>
      <c r="BD248" s="34"/>
      <c r="BE248" s="34"/>
      <c r="BF248" s="38">
        <f t="shared" ref="BF248" si="1073">+BF225</f>
        <v>0</v>
      </c>
      <c r="BG248" s="36">
        <f t="shared" si="1002"/>
        <v>0</v>
      </c>
      <c r="BH248" s="34"/>
      <c r="BI248" s="34"/>
      <c r="BJ248" s="34"/>
      <c r="BK248" s="34"/>
      <c r="BL248" s="38">
        <f t="shared" ref="BL248" si="1074">+BL225</f>
        <v>0</v>
      </c>
      <c r="BM248" s="36">
        <f t="shared" si="1004"/>
        <v>0</v>
      </c>
      <c r="BN248" s="34"/>
      <c r="BO248" s="34"/>
      <c r="BP248" s="34"/>
      <c r="BQ248" s="34"/>
      <c r="BR248" s="38">
        <f t="shared" ref="BR248" si="1075">+BR225</f>
        <v>0</v>
      </c>
      <c r="BS248" s="36">
        <f t="shared" si="1006"/>
        <v>0</v>
      </c>
      <c r="BT248" s="34"/>
      <c r="BU248" s="34"/>
      <c r="BV248" s="34"/>
      <c r="BW248" s="34"/>
      <c r="BX248" s="38">
        <f t="shared" ref="BX248" si="1076">+BX225</f>
        <v>0</v>
      </c>
      <c r="BY248" s="36">
        <f t="shared" si="1008"/>
        <v>0</v>
      </c>
      <c r="BZ248" s="34"/>
      <c r="CA248" s="34"/>
      <c r="CB248" s="34"/>
      <c r="CC248" s="34"/>
      <c r="CD248" s="38">
        <f t="shared" ref="CD248" si="1077">+CD225</f>
        <v>0</v>
      </c>
      <c r="CE248" s="36">
        <f t="shared" si="1010"/>
        <v>0</v>
      </c>
      <c r="CF248" s="34"/>
      <c r="CG248" s="34"/>
      <c r="CH248" s="34"/>
      <c r="CI248" s="34"/>
      <c r="CJ248" s="38">
        <f t="shared" ref="CJ248" si="1078">+CJ225</f>
        <v>0</v>
      </c>
      <c r="CK248" s="71">
        <f t="shared" si="1012"/>
        <v>0</v>
      </c>
      <c r="CL248" s="67">
        <f t="shared" si="1013"/>
        <v>0</v>
      </c>
      <c r="CM248" s="67">
        <f t="shared" si="1013"/>
        <v>0</v>
      </c>
      <c r="CN248" s="67">
        <f t="shared" si="1013"/>
        <v>0</v>
      </c>
      <c r="CO248" s="67">
        <f t="shared" si="1013"/>
        <v>0</v>
      </c>
      <c r="CP248" s="67">
        <f t="shared" si="1013"/>
        <v>0</v>
      </c>
      <c r="CQ248" s="67">
        <f t="shared" si="1013"/>
        <v>0</v>
      </c>
      <c r="CR248" s="37">
        <f t="shared" si="1014"/>
        <v>0</v>
      </c>
      <c r="CS248" s="39">
        <f t="shared" si="1015"/>
        <v>0</v>
      </c>
      <c r="CT248" s="53">
        <f t="shared" si="1016"/>
        <v>0</v>
      </c>
      <c r="CU248" s="39">
        <f t="shared" si="1017"/>
        <v>0</v>
      </c>
      <c r="CV248" s="39">
        <f t="shared" si="1018"/>
        <v>0</v>
      </c>
      <c r="CW248" s="39">
        <f t="shared" si="1019"/>
        <v>0</v>
      </c>
      <c r="CX248" s="39">
        <f t="shared" si="1020"/>
        <v>0</v>
      </c>
      <c r="CY248" s="39">
        <f t="shared" si="1021"/>
        <v>0</v>
      </c>
      <c r="CZ248" s="39">
        <f t="shared" si="1022"/>
        <v>0</v>
      </c>
      <c r="DA248" s="39">
        <f t="shared" si="1023"/>
        <v>0</v>
      </c>
      <c r="DB248" s="39">
        <f t="shared" si="1024"/>
        <v>0</v>
      </c>
      <c r="DC248" s="39">
        <f t="shared" si="1025"/>
        <v>0</v>
      </c>
      <c r="DD248" s="39">
        <f>+HLOOKUP('Reporte Evolución Mensual'!$F$2-2,$CR$2:$DC$251, Input!$DG248, FALSE)</f>
        <v>10606121.666666666</v>
      </c>
      <c r="DE248" s="39">
        <f>+HLOOKUP('Reporte Evolución Mensual'!$F$2-1,$CR$2:$DC$251, Input!$DG248, FALSE)</f>
        <v>187119305.44513953</v>
      </c>
      <c r="DF248" s="39">
        <f>+HLOOKUP('Reporte Evolución Mensual'!$F$2,$CR$2:$DC$251, Input!$DG248, FALSE)</f>
        <v>29270178.64310088</v>
      </c>
      <c r="DG248" s="40">
        <f t="shared" si="795"/>
        <v>248</v>
      </c>
      <c r="DH248" s="39"/>
      <c r="DI248" s="39"/>
      <c r="DJ248" s="39"/>
      <c r="DK248" s="39"/>
      <c r="DL248" s="39"/>
      <c r="DM248" s="39"/>
      <c r="DN248" s="39"/>
      <c r="DO248" s="58"/>
      <c r="DP248" s="58"/>
      <c r="DQ248" s="58"/>
      <c r="DR248" s="58"/>
      <c r="DS248" s="1"/>
      <c r="DT248" s="1"/>
      <c r="DU248" s="1"/>
      <c r="DV248" s="345" t="s">
        <v>163</v>
      </c>
    </row>
    <row r="249" spans="1:126" ht="15" customHeight="1" x14ac:dyDescent="0.3">
      <c r="A249" s="1" t="str">
        <f t="shared" si="713"/>
        <v>ADIFSE</v>
      </c>
      <c r="B249" s="1" t="str">
        <f t="shared" si="714"/>
        <v>ADIFSE</v>
      </c>
      <c r="C249" s="1" t="str">
        <f t="shared" si="715"/>
        <v>MAY</v>
      </c>
      <c r="D249" s="41" t="s">
        <v>108</v>
      </c>
      <c r="E249" s="117" t="s">
        <v>285</v>
      </c>
      <c r="F249" s="116"/>
      <c r="G249" s="32" t="s">
        <v>285</v>
      </c>
      <c r="H249" s="32" t="s">
        <v>173</v>
      </c>
      <c r="I249" s="32" t="s">
        <v>173</v>
      </c>
      <c r="J249" s="32" t="s">
        <v>289</v>
      </c>
      <c r="K249" s="91"/>
      <c r="L249" s="91">
        <f t="shared" ref="L249:P249" si="1079">SUM(L244:L248)</f>
        <v>0</v>
      </c>
      <c r="M249" s="91">
        <f t="shared" si="1079"/>
        <v>0</v>
      </c>
      <c r="N249" s="91">
        <f t="shared" si="1079"/>
        <v>0</v>
      </c>
      <c r="O249" s="91">
        <f t="shared" si="1079"/>
        <v>0</v>
      </c>
      <c r="P249" s="91">
        <f t="shared" si="1079"/>
        <v>0</v>
      </c>
      <c r="Q249" s="93">
        <f t="shared" si="988"/>
        <v>0</v>
      </c>
      <c r="R249" s="91">
        <f t="shared" ref="R249:V249" si="1080">SUM(R244:R248)</f>
        <v>44168000</v>
      </c>
      <c r="S249" s="91">
        <f t="shared" si="1080"/>
        <v>7628000</v>
      </c>
      <c r="T249" s="91">
        <f t="shared" si="1080"/>
        <v>0</v>
      </c>
      <c r="U249" s="91">
        <f t="shared" si="1080"/>
        <v>0</v>
      </c>
      <c r="V249" s="91">
        <f t="shared" si="1080"/>
        <v>0</v>
      </c>
      <c r="W249" s="92">
        <f t="shared" si="990"/>
        <v>51796000</v>
      </c>
      <c r="X249" s="91">
        <f t="shared" ref="X249:AB249" si="1081">SUM(X244:X248)</f>
        <v>0</v>
      </c>
      <c r="Y249" s="91">
        <f t="shared" si="1081"/>
        <v>8100000</v>
      </c>
      <c r="Z249" s="91">
        <f t="shared" si="1081"/>
        <v>0</v>
      </c>
      <c r="AA249" s="91">
        <f t="shared" si="1081"/>
        <v>0</v>
      </c>
      <c r="AB249" s="91">
        <f t="shared" si="1081"/>
        <v>0</v>
      </c>
      <c r="AC249" s="92">
        <f t="shared" si="992"/>
        <v>8100000</v>
      </c>
      <c r="AD249" s="91">
        <f t="shared" ref="AD249:AH249" si="1082">SUM(AD244:AD248)</f>
        <v>0</v>
      </c>
      <c r="AE249" s="91">
        <f t="shared" si="1082"/>
        <v>10606121.666666666</v>
      </c>
      <c r="AF249" s="91">
        <f t="shared" si="1082"/>
        <v>0</v>
      </c>
      <c r="AG249" s="91">
        <f t="shared" si="1082"/>
        <v>0</v>
      </c>
      <c r="AH249" s="91">
        <f t="shared" si="1082"/>
        <v>0</v>
      </c>
      <c r="AI249" s="92">
        <f t="shared" si="994"/>
        <v>10606121.666666666</v>
      </c>
      <c r="AJ249" s="91">
        <f t="shared" ref="AJ249:AN249" si="1083">SUM(AJ244:AJ248)</f>
        <v>170045480.32684785</v>
      </c>
      <c r="AK249" s="91">
        <f t="shared" si="1083"/>
        <v>17073825.118291669</v>
      </c>
      <c r="AL249" s="91">
        <f t="shared" si="1083"/>
        <v>0</v>
      </c>
      <c r="AM249" s="91">
        <f t="shared" si="1083"/>
        <v>0</v>
      </c>
      <c r="AN249" s="91">
        <f t="shared" si="1083"/>
        <v>0</v>
      </c>
      <c r="AO249" s="92">
        <f t="shared" si="996"/>
        <v>187119305.44513953</v>
      </c>
      <c r="AP249" s="91">
        <f t="shared" ref="AP249:AT249" si="1084">SUM(AP244:AP248)</f>
        <v>14127345.99147588</v>
      </c>
      <c r="AQ249" s="91">
        <f t="shared" si="1084"/>
        <v>15142832.651625</v>
      </c>
      <c r="AR249" s="91">
        <f t="shared" si="1084"/>
        <v>0</v>
      </c>
      <c r="AS249" s="91">
        <f t="shared" si="1084"/>
        <v>0</v>
      </c>
      <c r="AT249" s="91">
        <f t="shared" si="1084"/>
        <v>0</v>
      </c>
      <c r="AU249" s="92">
        <f t="shared" si="998"/>
        <v>29270178.64310088</v>
      </c>
      <c r="AV249" s="91">
        <f t="shared" ref="AV249:AZ249" si="1085">SUM(AV244:AV248)</f>
        <v>0</v>
      </c>
      <c r="AW249" s="91">
        <f t="shared" si="1085"/>
        <v>7990453.4516249998</v>
      </c>
      <c r="AX249" s="91">
        <f t="shared" si="1085"/>
        <v>0</v>
      </c>
      <c r="AY249" s="91">
        <f t="shared" si="1085"/>
        <v>408.00852409005165</v>
      </c>
      <c r="AZ249" s="91">
        <f t="shared" si="1085"/>
        <v>0</v>
      </c>
      <c r="BA249" s="92">
        <f t="shared" si="1000"/>
        <v>7990861.4601490898</v>
      </c>
      <c r="BB249" s="91">
        <f t="shared" ref="BB249:BF249" si="1086">SUM(BB244:BB248)</f>
        <v>0</v>
      </c>
      <c r="BC249" s="91">
        <f t="shared" si="1086"/>
        <v>7990453.4516249895</v>
      </c>
      <c r="BD249" s="91">
        <f t="shared" si="1086"/>
        <v>0</v>
      </c>
      <c r="BE249" s="91">
        <f t="shared" si="1086"/>
        <v>0</v>
      </c>
      <c r="BF249" s="91">
        <f t="shared" si="1086"/>
        <v>0</v>
      </c>
      <c r="BG249" s="92">
        <f t="shared" si="1002"/>
        <v>7990453.4516249895</v>
      </c>
      <c r="BH249" s="91">
        <f t="shared" ref="BH249:BL249" si="1087">SUM(BH244:BH248)</f>
        <v>0</v>
      </c>
      <c r="BI249" s="91">
        <f t="shared" si="1087"/>
        <v>148936853.45162499</v>
      </c>
      <c r="BJ249" s="91">
        <f t="shared" si="1087"/>
        <v>0</v>
      </c>
      <c r="BK249" s="91">
        <f t="shared" si="1087"/>
        <v>0</v>
      </c>
      <c r="BL249" s="91">
        <f t="shared" si="1087"/>
        <v>0</v>
      </c>
      <c r="BM249" s="92">
        <f t="shared" si="1004"/>
        <v>148936853.45162499</v>
      </c>
      <c r="BN249" s="91">
        <f t="shared" ref="BN249:BR249" si="1088">SUM(BN244:BN248)</f>
        <v>0</v>
      </c>
      <c r="BO249" s="91">
        <f t="shared" si="1088"/>
        <v>16411149.984999999</v>
      </c>
      <c r="BP249" s="91">
        <f t="shared" si="1088"/>
        <v>0</v>
      </c>
      <c r="BQ249" s="91">
        <f t="shared" si="1088"/>
        <v>0</v>
      </c>
      <c r="BR249" s="91">
        <f t="shared" si="1088"/>
        <v>0</v>
      </c>
      <c r="BS249" s="92">
        <f t="shared" si="1006"/>
        <v>16411149.984999999</v>
      </c>
      <c r="BT249" s="91">
        <f t="shared" ref="BT249:BX249" si="1089">SUM(BT244:BT248)</f>
        <v>0</v>
      </c>
      <c r="BU249" s="91">
        <f t="shared" si="1089"/>
        <v>10894847.35</v>
      </c>
      <c r="BV249" s="91">
        <f t="shared" si="1089"/>
        <v>0</v>
      </c>
      <c r="BW249" s="91">
        <f t="shared" si="1089"/>
        <v>0</v>
      </c>
      <c r="BX249" s="91">
        <f t="shared" si="1089"/>
        <v>0</v>
      </c>
      <c r="BY249" s="92">
        <f t="shared" si="1008"/>
        <v>10894847.35</v>
      </c>
      <c r="BZ249" s="91">
        <f t="shared" ref="BZ249:CD249" si="1090">SUM(BZ244:BZ248)</f>
        <v>0</v>
      </c>
      <c r="CA249" s="91">
        <f t="shared" si="1090"/>
        <v>16066952.449999999</v>
      </c>
      <c r="CB249" s="91">
        <f t="shared" si="1090"/>
        <v>0</v>
      </c>
      <c r="CC249" s="91">
        <f t="shared" si="1090"/>
        <v>0</v>
      </c>
      <c r="CD249" s="91">
        <f t="shared" si="1090"/>
        <v>0</v>
      </c>
      <c r="CE249" s="92">
        <f t="shared" si="1010"/>
        <v>16066952.449999999</v>
      </c>
      <c r="CF249" s="91">
        <f t="shared" ref="CF249:CJ249" si="1091">SUM(CF244:CF248)</f>
        <v>0</v>
      </c>
      <c r="CG249" s="91">
        <f t="shared" si="1091"/>
        <v>4305900</v>
      </c>
      <c r="CH249" s="91">
        <f t="shared" si="1091"/>
        <v>0</v>
      </c>
      <c r="CI249" s="91">
        <f t="shared" si="1091"/>
        <v>0</v>
      </c>
      <c r="CJ249" s="91">
        <f t="shared" si="1091"/>
        <v>0</v>
      </c>
      <c r="CK249" s="86">
        <f t="shared" si="1012"/>
        <v>4305900</v>
      </c>
      <c r="CL249" s="56">
        <f t="shared" si="1013"/>
        <v>228340826.31832373</v>
      </c>
      <c r="CM249" s="56">
        <f t="shared" si="1013"/>
        <v>271147389.57645833</v>
      </c>
      <c r="CN249" s="56">
        <f t="shared" si="1013"/>
        <v>0</v>
      </c>
      <c r="CO249" s="56">
        <f t="shared" si="1013"/>
        <v>408.00852409005165</v>
      </c>
      <c r="CP249" s="56">
        <f t="shared" si="1013"/>
        <v>0</v>
      </c>
      <c r="CQ249" s="56">
        <f t="shared" si="1013"/>
        <v>499488623.90330619</v>
      </c>
      <c r="CR249" s="37">
        <f t="shared" si="1014"/>
        <v>51796000</v>
      </c>
      <c r="CS249" s="39">
        <f t="shared" si="1015"/>
        <v>8100000</v>
      </c>
      <c r="CT249" s="53">
        <f t="shared" si="1016"/>
        <v>10606121.666666666</v>
      </c>
      <c r="CU249" s="39">
        <f t="shared" si="1017"/>
        <v>187119305.44513953</v>
      </c>
      <c r="CV249" s="39">
        <f t="shared" si="1018"/>
        <v>29270178.64310088</v>
      </c>
      <c r="CW249" s="39">
        <f t="shared" si="1019"/>
        <v>7990861.4601490898</v>
      </c>
      <c r="CX249" s="39">
        <f t="shared" si="1020"/>
        <v>7990453.4516249895</v>
      </c>
      <c r="CY249" s="39">
        <f t="shared" si="1021"/>
        <v>148936853.45162499</v>
      </c>
      <c r="CZ249" s="39">
        <f t="shared" si="1022"/>
        <v>16411149.984999999</v>
      </c>
      <c r="DA249" s="39">
        <f t="shared" si="1023"/>
        <v>10894847.35</v>
      </c>
      <c r="DB249" s="39">
        <f t="shared" si="1024"/>
        <v>16066952.449999999</v>
      </c>
      <c r="DC249" s="39">
        <f t="shared" si="1025"/>
        <v>4305900</v>
      </c>
      <c r="DD249" s="39">
        <f>+HLOOKUP('Reporte Evolución Mensual'!$F$2-2,$CR$2:$DC$251, Input!$DG249, FALSE)</f>
        <v>0</v>
      </c>
      <c r="DE249" s="39">
        <f>+HLOOKUP('Reporte Evolución Mensual'!$F$2-1,$CR$2:$DC$251, Input!$DG249, FALSE)</f>
        <v>0</v>
      </c>
      <c r="DF249" s="39">
        <f>+HLOOKUP('Reporte Evolución Mensual'!$F$2,$CR$2:$DC$251, Input!$DG249, FALSE)</f>
        <v>0</v>
      </c>
      <c r="DG249" s="40">
        <f t="shared" si="795"/>
        <v>249</v>
      </c>
      <c r="DH249" s="39"/>
      <c r="DI249" s="39"/>
      <c r="DJ249" s="39"/>
      <c r="DK249" s="39"/>
      <c r="DL249" s="39"/>
      <c r="DM249" s="39"/>
      <c r="DN249" s="39"/>
      <c r="DO249" s="58"/>
      <c r="DP249" s="58"/>
      <c r="DQ249" s="58"/>
      <c r="DR249" s="58"/>
      <c r="DS249" s="41"/>
      <c r="DT249" s="41"/>
      <c r="DU249" s="41"/>
      <c r="DV249" s="345" t="s">
        <v>163</v>
      </c>
    </row>
    <row r="250" spans="1:126" ht="15" customHeight="1" x14ac:dyDescent="0.3">
      <c r="A250" s="1" t="str">
        <f t="shared" si="713"/>
        <v>ADIFSE</v>
      </c>
      <c r="B250" s="1" t="str">
        <f t="shared" si="714"/>
        <v>ADIFSE</v>
      </c>
      <c r="C250" s="1" t="str">
        <f t="shared" si="715"/>
        <v>MAY</v>
      </c>
      <c r="D250" s="41" t="s">
        <v>108</v>
      </c>
      <c r="E250" s="137" t="s">
        <v>333</v>
      </c>
      <c r="F250" s="138"/>
      <c r="G250" s="44"/>
      <c r="H250" s="44"/>
      <c r="I250" s="44"/>
      <c r="J250" s="44"/>
      <c r="K250" s="38"/>
      <c r="L250" s="139"/>
      <c r="M250" s="139"/>
      <c r="N250" s="139"/>
      <c r="O250" s="139"/>
      <c r="P250" s="139"/>
      <c r="Q250" s="140"/>
      <c r="R250" s="55"/>
      <c r="S250" s="55"/>
      <c r="T250" s="55"/>
      <c r="U250" s="55"/>
      <c r="V250" s="55"/>
      <c r="W250" s="86"/>
      <c r="X250" s="55"/>
      <c r="Y250" s="55"/>
      <c r="Z250" s="55"/>
      <c r="AA250" s="55"/>
      <c r="AB250" s="55"/>
      <c r="AC250" s="86"/>
      <c r="AD250" s="55"/>
      <c r="AE250" s="55"/>
      <c r="AF250" s="55"/>
      <c r="AG250" s="55"/>
      <c r="AH250" s="55"/>
      <c r="AI250" s="86"/>
      <c r="AJ250" s="55"/>
      <c r="AK250" s="55"/>
      <c r="AL250" s="55"/>
      <c r="AM250" s="55"/>
      <c r="AN250" s="55"/>
      <c r="AO250" s="86"/>
      <c r="AP250" s="55"/>
      <c r="AQ250" s="55"/>
      <c r="AR250" s="55"/>
      <c r="AS250" s="55"/>
      <c r="AT250" s="55"/>
      <c r="AU250" s="86"/>
      <c r="AV250" s="55"/>
      <c r="AW250" s="55"/>
      <c r="AX250" s="55"/>
      <c r="AY250" s="55"/>
      <c r="AZ250" s="55"/>
      <c r="BA250" s="86"/>
      <c r="BB250" s="55"/>
      <c r="BC250" s="55"/>
      <c r="BD250" s="55"/>
      <c r="BE250" s="55"/>
      <c r="BF250" s="55"/>
      <c r="BG250" s="86"/>
      <c r="BH250" s="55"/>
      <c r="BI250" s="55"/>
      <c r="BJ250" s="55"/>
      <c r="BK250" s="55"/>
      <c r="BL250" s="55"/>
      <c r="BM250" s="86"/>
      <c r="BN250" s="55"/>
      <c r="BO250" s="55"/>
      <c r="BP250" s="55"/>
      <c r="BQ250" s="55"/>
      <c r="BR250" s="55"/>
      <c r="BS250" s="86"/>
      <c r="BT250" s="55"/>
      <c r="BU250" s="55"/>
      <c r="BV250" s="55"/>
      <c r="BW250" s="55"/>
      <c r="BX250" s="55"/>
      <c r="BY250" s="86"/>
      <c r="BZ250" s="55"/>
      <c r="CA250" s="55"/>
      <c r="CB250" s="55"/>
      <c r="CC250" s="55"/>
      <c r="CD250" s="55"/>
      <c r="CE250" s="86"/>
      <c r="CF250" s="55"/>
      <c r="CG250" s="55"/>
      <c r="CH250" s="55"/>
      <c r="CI250" s="55"/>
      <c r="CJ250" s="55"/>
      <c r="CK250" s="86"/>
      <c r="CL250" s="56"/>
      <c r="CM250" s="56"/>
      <c r="CN250" s="56"/>
      <c r="CO250" s="56"/>
      <c r="CP250" s="56"/>
      <c r="CQ250" s="56"/>
      <c r="CR250" s="38"/>
      <c r="CS250" s="38"/>
      <c r="CT250" s="38"/>
      <c r="CU250" s="38"/>
      <c r="CV250" s="38"/>
      <c r="CW250" s="38"/>
      <c r="CX250" s="38"/>
      <c r="CY250" s="38"/>
      <c r="CZ250" s="38"/>
      <c r="DA250" s="38"/>
      <c r="DB250" s="38"/>
      <c r="DC250" s="38"/>
      <c r="DD250" s="39">
        <f>+HLOOKUP('Reporte Evolución Mensual'!$F$2-2,$CR$2:$DC$251, Input!$DG250, FALSE)</f>
        <v>0</v>
      </c>
      <c r="DE250" s="39">
        <f>+HLOOKUP('Reporte Evolución Mensual'!$F$2-1,$CR$2:$DC$251, Input!$DG250, FALSE)</f>
        <v>0</v>
      </c>
      <c r="DF250" s="39">
        <f>+HLOOKUP('Reporte Evolución Mensual'!$F$2,$CR$2:$DC$251, Input!$DG250, FALSE)</f>
        <v>0</v>
      </c>
      <c r="DG250" s="40">
        <f t="shared" si="795"/>
        <v>250</v>
      </c>
      <c r="DH250" s="37"/>
      <c r="DI250" s="37"/>
      <c r="DJ250" s="37"/>
      <c r="DK250" s="37"/>
      <c r="DL250" s="37"/>
      <c r="DM250" s="37"/>
      <c r="DN250" s="37"/>
      <c r="DO250" s="63"/>
      <c r="DP250" s="63"/>
      <c r="DQ250" s="63"/>
      <c r="DR250" s="63"/>
      <c r="DS250" s="16"/>
      <c r="DT250" s="16"/>
      <c r="DU250" s="16"/>
      <c r="DV250" s="345"/>
    </row>
    <row r="251" spans="1:126" ht="15" hidden="1" customHeight="1" x14ac:dyDescent="0.3">
      <c r="A251" s="1" t="str">
        <f t="shared" si="713"/>
        <v>ADIFSE</v>
      </c>
      <c r="B251" s="1" t="str">
        <f t="shared" si="714"/>
        <v>ADIFSE</v>
      </c>
      <c r="C251" s="1" t="str">
        <f t="shared" si="715"/>
        <v>MAY</v>
      </c>
      <c r="D251" s="41" t="s">
        <v>108</v>
      </c>
      <c r="E251" s="141" t="s">
        <v>485</v>
      </c>
      <c r="F251" s="142"/>
      <c r="G251" s="143"/>
      <c r="H251" s="144"/>
      <c r="I251" s="144"/>
      <c r="J251" s="144"/>
      <c r="K251" s="145"/>
      <c r="L251" s="146"/>
      <c r="M251" s="147"/>
      <c r="N251" s="147"/>
      <c r="O251" s="147"/>
      <c r="P251" s="147"/>
      <c r="Q251" s="148"/>
      <c r="R251" s="141" t="s">
        <v>479</v>
      </c>
      <c r="S251" s="147"/>
      <c r="T251" s="147"/>
      <c r="U251" s="147"/>
      <c r="V251" s="147"/>
      <c r="W251" s="147"/>
      <c r="X251" s="147"/>
      <c r="Y251" s="147"/>
      <c r="Z251" s="147"/>
      <c r="AA251" s="147"/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/>
      <c r="AS251" s="147"/>
      <c r="AT251" s="147"/>
      <c r="AU251" s="147"/>
      <c r="AV251" s="147"/>
      <c r="AW251" s="147"/>
      <c r="AX251" s="147"/>
      <c r="AY251" s="147"/>
      <c r="AZ251" s="147"/>
      <c r="BA251" s="147"/>
      <c r="BB251" s="147"/>
      <c r="BC251" s="147"/>
      <c r="BD251" s="147"/>
      <c r="BE251" s="147"/>
      <c r="BF251" s="147"/>
      <c r="BG251" s="147"/>
      <c r="BH251" s="147"/>
      <c r="BI251" s="147"/>
      <c r="BJ251" s="147"/>
      <c r="BK251" s="147"/>
      <c r="BL251" s="147"/>
      <c r="BM251" s="147"/>
      <c r="BN251" s="147"/>
      <c r="BO251" s="147"/>
      <c r="BP251" s="147"/>
      <c r="BQ251" s="147"/>
      <c r="BR251" s="147"/>
      <c r="BS251" s="147"/>
      <c r="BT251" s="147"/>
      <c r="BU251" s="147"/>
      <c r="BV251" s="147"/>
      <c r="BW251" s="147"/>
      <c r="BX251" s="147"/>
      <c r="BY251" s="147"/>
      <c r="BZ251" s="147"/>
      <c r="CA251" s="147"/>
      <c r="CB251" s="147"/>
      <c r="CC251" s="147"/>
      <c r="CD251" s="147"/>
      <c r="CE251" s="147"/>
      <c r="CF251" s="147"/>
      <c r="CG251" s="147"/>
      <c r="CH251" s="147"/>
      <c r="CI251" s="147"/>
      <c r="CJ251" s="147"/>
      <c r="CK251" s="147"/>
      <c r="CL251" s="141"/>
      <c r="CM251" s="147"/>
      <c r="CN251" s="147"/>
      <c r="CO251" s="147"/>
      <c r="CP251" s="147"/>
      <c r="CQ251" s="148"/>
      <c r="CR251" s="149"/>
      <c r="CS251" s="149"/>
      <c r="CT251" s="149"/>
      <c r="CU251" s="149"/>
      <c r="CV251" s="149"/>
      <c r="CW251" s="149"/>
      <c r="CX251" s="149"/>
      <c r="CY251" s="149"/>
      <c r="CZ251" s="149"/>
      <c r="DA251" s="149"/>
      <c r="DB251" s="149"/>
      <c r="DC251" s="149"/>
      <c r="DD251" s="39">
        <f>+HLOOKUP('Reporte Evolución Mensual'!$F$2-2,$CR$2:$DC$252, Input!$DG251, FALSE)</f>
        <v>0</v>
      </c>
      <c r="DE251" s="39">
        <f>+HLOOKUP('Reporte Evolución Mensual'!$F$2-1,$CR$2:$DC$252, Input!$DG251, FALSE)</f>
        <v>0</v>
      </c>
      <c r="DF251" s="39">
        <f>+HLOOKUP('Reporte Evolución Mensual'!$F$2,$CR$2:$DC$252, Input!$DG251, FALSE)</f>
        <v>0</v>
      </c>
      <c r="DG251" s="40">
        <f t="shared" si="795"/>
        <v>251</v>
      </c>
      <c r="DH251" s="37"/>
      <c r="DI251" s="37"/>
      <c r="DJ251" s="37"/>
      <c r="DK251" s="37"/>
      <c r="DL251" s="37"/>
      <c r="DM251" s="37"/>
      <c r="DN251" s="37"/>
      <c r="DO251" s="63"/>
      <c r="DP251" s="63"/>
      <c r="DQ251" s="63"/>
      <c r="DR251" s="63"/>
      <c r="DS251" s="16"/>
      <c r="DT251" s="16"/>
      <c r="DU251" s="16"/>
    </row>
    <row r="252" spans="1:126" ht="15" hidden="1" customHeight="1" x14ac:dyDescent="0.3">
      <c r="A252" s="1" t="str">
        <f t="shared" si="713"/>
        <v>ADIFSE</v>
      </c>
      <c r="B252" s="1" t="str">
        <f t="shared" si="714"/>
        <v>ADIFSE</v>
      </c>
      <c r="C252" s="1" t="str">
        <f t="shared" si="715"/>
        <v>MAY</v>
      </c>
      <c r="D252" s="1" t="s">
        <v>108</v>
      </c>
      <c r="E252" s="150" t="s">
        <v>161</v>
      </c>
      <c r="F252" s="151"/>
      <c r="G252" s="1"/>
      <c r="H252" s="32"/>
      <c r="I252" s="32"/>
      <c r="J252" s="32"/>
      <c r="K252" s="34"/>
      <c r="L252" s="34"/>
      <c r="M252" s="34"/>
      <c r="N252" s="34"/>
      <c r="O252" s="34"/>
      <c r="P252" s="34"/>
      <c r="Q252" s="35"/>
      <c r="DU252" s="16"/>
    </row>
    <row r="253" spans="1:126" ht="15" hidden="1" customHeight="1" x14ac:dyDescent="0.3">
      <c r="A253" s="1" t="str">
        <f t="shared" si="713"/>
        <v>ADIFSE</v>
      </c>
      <c r="B253" s="1" t="str">
        <f t="shared" si="714"/>
        <v>ADIFSE</v>
      </c>
      <c r="C253" s="1" t="str">
        <f t="shared" si="715"/>
        <v>MAY</v>
      </c>
      <c r="D253" s="41" t="s">
        <v>108</v>
      </c>
      <c r="E253" s="152" t="s">
        <v>162</v>
      </c>
      <c r="F253" s="153"/>
      <c r="G253" s="41"/>
      <c r="H253" s="44"/>
      <c r="I253" s="44"/>
      <c r="J253" s="44"/>
      <c r="K253" s="46"/>
      <c r="L253" s="46"/>
      <c r="M253" s="46"/>
      <c r="N253" s="46"/>
      <c r="O253" s="46"/>
      <c r="P253" s="46"/>
      <c r="Q253" s="47"/>
      <c r="DU253" s="41"/>
    </row>
    <row r="254" spans="1:126" ht="15" hidden="1" customHeight="1" x14ac:dyDescent="0.3">
      <c r="A254" s="1" t="str">
        <f t="shared" si="713"/>
        <v>ADIFSE</v>
      </c>
      <c r="B254" s="1" t="str">
        <f t="shared" si="714"/>
        <v>ADIFSE</v>
      </c>
      <c r="C254" s="1" t="str">
        <f t="shared" si="715"/>
        <v>MAY</v>
      </c>
      <c r="D254" s="1" t="s">
        <v>108</v>
      </c>
      <c r="E254" s="150" t="str">
        <f>H254</f>
        <v>Ingresos por Servicios</v>
      </c>
      <c r="F254" s="151" t="s">
        <v>164</v>
      </c>
      <c r="G254" s="1" t="s">
        <v>162</v>
      </c>
      <c r="H254" s="32" t="s">
        <v>165</v>
      </c>
      <c r="I254" s="32" t="s">
        <v>165</v>
      </c>
      <c r="J254" s="32" t="s">
        <v>462</v>
      </c>
      <c r="K254" s="38"/>
      <c r="L254" s="38"/>
      <c r="M254" s="38"/>
      <c r="N254" s="38"/>
      <c r="O254" s="38"/>
      <c r="P254" s="38"/>
      <c r="Q254" s="35"/>
      <c r="DU254" s="1"/>
    </row>
    <row r="255" spans="1:126" ht="15" hidden="1" customHeight="1" x14ac:dyDescent="0.3">
      <c r="A255" s="1" t="str">
        <f t="shared" si="713"/>
        <v>ADIFSE</v>
      </c>
      <c r="B255" s="1" t="str">
        <f t="shared" si="714"/>
        <v>ADIFSE</v>
      </c>
      <c r="C255" s="1" t="str">
        <f t="shared" si="715"/>
        <v>MAY</v>
      </c>
      <c r="D255" s="1" t="s">
        <v>108</v>
      </c>
      <c r="E255" s="150" t="str">
        <f>H255</f>
        <v>Tasas y Aranceles</v>
      </c>
      <c r="F255" s="151">
        <v>12</v>
      </c>
      <c r="G255" s="1" t="s">
        <v>162</v>
      </c>
      <c r="H255" s="32" t="s">
        <v>167</v>
      </c>
      <c r="I255" s="32" t="s">
        <v>167</v>
      </c>
      <c r="J255" s="32" t="s">
        <v>463</v>
      </c>
      <c r="K255" s="38"/>
      <c r="L255" s="38"/>
      <c r="M255" s="38"/>
      <c r="N255" s="38"/>
      <c r="O255" s="38"/>
      <c r="P255" s="38"/>
      <c r="Q255" s="35"/>
      <c r="DU255" s="1"/>
    </row>
    <row r="256" spans="1:126" ht="15" hidden="1" customHeight="1" x14ac:dyDescent="0.3">
      <c r="A256" s="1" t="str">
        <f t="shared" si="713"/>
        <v>ADIFSE</v>
      </c>
      <c r="B256" s="1" t="str">
        <f t="shared" si="714"/>
        <v>ADIFSE</v>
      </c>
      <c r="C256" s="1" t="str">
        <f t="shared" si="715"/>
        <v>MAY</v>
      </c>
      <c r="D256" s="1" t="s">
        <v>108</v>
      </c>
      <c r="E256" s="150" t="str">
        <f>H256</f>
        <v>Ingresos Tributarios</v>
      </c>
      <c r="F256" s="151">
        <v>11</v>
      </c>
      <c r="G256" s="1" t="s">
        <v>162</v>
      </c>
      <c r="H256" s="32" t="s">
        <v>168</v>
      </c>
      <c r="I256" s="32" t="s">
        <v>168</v>
      </c>
      <c r="J256" s="32" t="s">
        <v>463</v>
      </c>
      <c r="K256" s="38"/>
      <c r="L256" s="38"/>
      <c r="M256" s="38"/>
      <c r="N256" s="38"/>
      <c r="O256" s="38"/>
      <c r="P256" s="38"/>
      <c r="Q256" s="35"/>
      <c r="DU256" s="1"/>
    </row>
    <row r="257" spans="1:125" ht="15" hidden="1" customHeight="1" x14ac:dyDescent="0.3">
      <c r="A257" s="1" t="str">
        <f t="shared" si="713"/>
        <v>ADIFSE</v>
      </c>
      <c r="B257" s="1" t="str">
        <f t="shared" si="714"/>
        <v>ADIFSE</v>
      </c>
      <c r="C257" s="1" t="str">
        <f t="shared" si="715"/>
        <v>MAY</v>
      </c>
      <c r="D257" s="1" t="s">
        <v>108</v>
      </c>
      <c r="E257" s="150" t="str">
        <f>H257</f>
        <v>Intereses</v>
      </c>
      <c r="F257" s="151" t="s">
        <v>169</v>
      </c>
      <c r="G257" s="1" t="s">
        <v>162</v>
      </c>
      <c r="H257" s="32" t="s">
        <v>170</v>
      </c>
      <c r="I257" s="32" t="s">
        <v>170</v>
      </c>
      <c r="J257" s="32" t="s">
        <v>463</v>
      </c>
      <c r="K257" s="38"/>
      <c r="L257" s="38"/>
      <c r="M257" s="38"/>
      <c r="N257" s="38"/>
      <c r="O257" s="38"/>
      <c r="P257" s="38"/>
      <c r="Q257" s="35"/>
      <c r="DU257" s="1"/>
    </row>
    <row r="258" spans="1:125" ht="15" hidden="1" customHeight="1" x14ac:dyDescent="0.3">
      <c r="A258" s="1" t="str">
        <f t="shared" si="713"/>
        <v>ADIFSE</v>
      </c>
      <c r="B258" s="1" t="str">
        <f t="shared" si="714"/>
        <v>ADIFSE</v>
      </c>
      <c r="C258" s="1" t="str">
        <f t="shared" si="715"/>
        <v>MAY</v>
      </c>
      <c r="D258" s="1" t="s">
        <v>108</v>
      </c>
      <c r="E258" s="150" t="str">
        <f>H258</f>
        <v>Otras Rentas de la Propiedad</v>
      </c>
      <c r="F258" s="151" t="s">
        <v>172</v>
      </c>
      <c r="G258" s="1" t="s">
        <v>162</v>
      </c>
      <c r="H258" s="32" t="s">
        <v>171</v>
      </c>
      <c r="I258" s="32" t="s">
        <v>171</v>
      </c>
      <c r="J258" s="32" t="s">
        <v>463</v>
      </c>
      <c r="K258" s="38"/>
      <c r="L258" s="38"/>
      <c r="M258" s="38"/>
      <c r="N258" s="38"/>
      <c r="O258" s="38"/>
      <c r="P258" s="38"/>
      <c r="Q258" s="35"/>
      <c r="DU258" s="1"/>
    </row>
    <row r="259" spans="1:125" ht="15" hidden="1" customHeight="1" x14ac:dyDescent="0.3">
      <c r="A259" s="1" t="str">
        <f t="shared" si="713"/>
        <v>ADIFSE</v>
      </c>
      <c r="B259" s="1" t="str">
        <f t="shared" si="714"/>
        <v>ADIFSE</v>
      </c>
      <c r="C259" s="1" t="str">
        <f t="shared" si="715"/>
        <v>MAY</v>
      </c>
      <c r="D259" s="1" t="s">
        <v>108</v>
      </c>
      <c r="E259" s="154" t="str">
        <f>CONCATENATE(G259," - ",I259)</f>
        <v>Ingresos - Total</v>
      </c>
      <c r="F259" s="153"/>
      <c r="G259" s="1" t="s">
        <v>162</v>
      </c>
      <c r="H259" s="32" t="s">
        <v>173</v>
      </c>
      <c r="I259" s="32" t="s">
        <v>173</v>
      </c>
      <c r="J259" s="32" t="s">
        <v>463</v>
      </c>
      <c r="K259" s="46"/>
      <c r="L259" s="55"/>
      <c r="M259" s="55"/>
      <c r="N259" s="55"/>
      <c r="O259" s="55"/>
      <c r="P259" s="55"/>
      <c r="Q259" s="55"/>
      <c r="DU259" s="41"/>
    </row>
    <row r="260" spans="1:125" ht="15" hidden="1" customHeight="1" x14ac:dyDescent="0.3">
      <c r="A260" s="1" t="str">
        <f t="shared" ref="A260:A323" si="1092">$F$8</f>
        <v>ADIFSE</v>
      </c>
      <c r="B260" s="1" t="str">
        <f t="shared" ref="B260:B323" si="1093">$F$9</f>
        <v>ADIFSE</v>
      </c>
      <c r="C260" s="1" t="str">
        <f t="shared" ref="C260:C323" si="1094">$F$7</f>
        <v>MAY</v>
      </c>
      <c r="D260" s="1" t="s">
        <v>108</v>
      </c>
      <c r="E260" s="154"/>
      <c r="F260" s="153"/>
      <c r="G260" s="1"/>
      <c r="H260" s="32"/>
      <c r="I260" s="32"/>
      <c r="J260" s="32"/>
      <c r="K260" s="46"/>
      <c r="L260" s="55"/>
      <c r="M260" s="55"/>
      <c r="N260" s="55"/>
      <c r="O260" s="55"/>
      <c r="P260" s="55"/>
      <c r="Q260" s="56"/>
      <c r="DU260" s="41"/>
    </row>
    <row r="261" spans="1:125" ht="15" hidden="1" customHeight="1" x14ac:dyDescent="0.3">
      <c r="A261" s="1" t="str">
        <f t="shared" si="1092"/>
        <v>ADIFSE</v>
      </c>
      <c r="B261" s="1" t="str">
        <f t="shared" si="1093"/>
        <v>ADIFSE</v>
      </c>
      <c r="C261" s="1" t="str">
        <f t="shared" si="1094"/>
        <v>MAY</v>
      </c>
      <c r="D261" s="1" t="s">
        <v>108</v>
      </c>
      <c r="E261" s="152" t="s">
        <v>174</v>
      </c>
      <c r="F261" s="153"/>
      <c r="G261" s="1"/>
      <c r="H261" s="32"/>
      <c r="I261" s="32"/>
      <c r="J261" s="32"/>
      <c r="K261" s="46"/>
      <c r="L261" s="55"/>
      <c r="M261" s="55"/>
      <c r="N261" s="55"/>
      <c r="O261" s="55"/>
      <c r="P261" s="55"/>
      <c r="Q261" s="56"/>
      <c r="DU261" s="41"/>
    </row>
    <row r="262" spans="1:125" ht="15" hidden="1" customHeight="1" x14ac:dyDescent="0.3">
      <c r="A262" s="1" t="str">
        <f t="shared" si="1092"/>
        <v>ADIFSE</v>
      </c>
      <c r="B262" s="1" t="str">
        <f t="shared" si="1093"/>
        <v>ADIFSE</v>
      </c>
      <c r="C262" s="1" t="str">
        <f t="shared" si="1094"/>
        <v>MAY</v>
      </c>
      <c r="D262" s="1" t="s">
        <v>108</v>
      </c>
      <c r="E262" s="150" t="str">
        <f t="shared" ref="E262:E268" si="1095">H262</f>
        <v>Transf. del la Adm. Nac. p/Gastos Corrientes</v>
      </c>
      <c r="F262" s="151" t="s">
        <v>175</v>
      </c>
      <c r="G262" s="1" t="s">
        <v>174</v>
      </c>
      <c r="H262" s="32" t="s">
        <v>176</v>
      </c>
      <c r="I262" s="32" t="s">
        <v>176</v>
      </c>
      <c r="J262" s="32" t="s">
        <v>463</v>
      </c>
      <c r="K262" s="38"/>
      <c r="L262" s="38"/>
      <c r="M262" s="38"/>
      <c r="N262" s="38"/>
      <c r="O262" s="38"/>
      <c r="P262" s="38"/>
      <c r="Q262" s="56"/>
      <c r="DU262" s="41"/>
    </row>
    <row r="263" spans="1:125" ht="15" hidden="1" customHeight="1" x14ac:dyDescent="0.3">
      <c r="A263" s="1" t="str">
        <f t="shared" si="1092"/>
        <v>ADIFSE</v>
      </c>
      <c r="B263" s="1" t="str">
        <f t="shared" si="1093"/>
        <v>ADIFSE</v>
      </c>
      <c r="C263" s="1" t="str">
        <f t="shared" si="1094"/>
        <v>MAY</v>
      </c>
      <c r="D263" s="1" t="s">
        <v>108</v>
      </c>
      <c r="E263" s="150" t="str">
        <f t="shared" si="1095"/>
        <v>Transf. del la Adm. Nac. p/Gastos de Capital</v>
      </c>
      <c r="F263" s="151" t="s">
        <v>177</v>
      </c>
      <c r="G263" s="1" t="s">
        <v>174</v>
      </c>
      <c r="H263" s="32" t="s">
        <v>178</v>
      </c>
      <c r="I263" s="32" t="s">
        <v>178</v>
      </c>
      <c r="J263" s="32" t="s">
        <v>463</v>
      </c>
      <c r="K263" s="38"/>
      <c r="L263" s="38"/>
      <c r="M263" s="38"/>
      <c r="N263" s="38"/>
      <c r="O263" s="38"/>
      <c r="P263" s="38"/>
      <c r="Q263" s="56"/>
      <c r="DU263" s="41"/>
    </row>
    <row r="264" spans="1:125" ht="15" hidden="1" customHeight="1" x14ac:dyDescent="0.3">
      <c r="A264" s="1" t="str">
        <f t="shared" si="1092"/>
        <v>ADIFSE</v>
      </c>
      <c r="B264" s="1" t="str">
        <f t="shared" si="1093"/>
        <v>ADIFSE</v>
      </c>
      <c r="C264" s="1" t="str">
        <f t="shared" si="1094"/>
        <v>MAY</v>
      </c>
      <c r="D264" s="1" t="s">
        <v>108</v>
      </c>
      <c r="E264" s="150" t="str">
        <f t="shared" si="1095"/>
        <v>Otras Transf. del Est. Nac. p/ Gastos Corrientes</v>
      </c>
      <c r="F264" s="151" t="s">
        <v>179</v>
      </c>
      <c r="G264" s="1" t="s">
        <v>174</v>
      </c>
      <c r="H264" s="32" t="s">
        <v>180</v>
      </c>
      <c r="I264" s="32" t="s">
        <v>180</v>
      </c>
      <c r="J264" s="32" t="s">
        <v>463</v>
      </c>
      <c r="K264" s="38"/>
      <c r="L264" s="38"/>
      <c r="M264" s="38"/>
      <c r="N264" s="38"/>
      <c r="O264" s="38"/>
      <c r="P264" s="38"/>
      <c r="Q264" s="56"/>
      <c r="DU264" s="41"/>
    </row>
    <row r="265" spans="1:125" ht="15" hidden="1" customHeight="1" x14ac:dyDescent="0.3">
      <c r="A265" s="1" t="str">
        <f t="shared" si="1092"/>
        <v>ADIFSE</v>
      </c>
      <c r="B265" s="1" t="str">
        <f t="shared" si="1093"/>
        <v>ADIFSE</v>
      </c>
      <c r="C265" s="1" t="str">
        <f t="shared" si="1094"/>
        <v>MAY</v>
      </c>
      <c r="D265" s="1" t="s">
        <v>108</v>
      </c>
      <c r="E265" s="150" t="str">
        <f t="shared" si="1095"/>
        <v>Otras Transf. del Est. Nac. p/ Gastos de Capital</v>
      </c>
      <c r="F265" s="151" t="s">
        <v>181</v>
      </c>
      <c r="G265" s="1" t="s">
        <v>174</v>
      </c>
      <c r="H265" s="32" t="s">
        <v>182</v>
      </c>
      <c r="I265" s="32" t="s">
        <v>182</v>
      </c>
      <c r="J265" s="32" t="s">
        <v>463</v>
      </c>
      <c r="K265" s="38"/>
      <c r="L265" s="38"/>
      <c r="M265" s="38"/>
      <c r="N265" s="38"/>
      <c r="O265" s="38"/>
      <c r="P265" s="38"/>
      <c r="Q265" s="56"/>
      <c r="DU265" s="41"/>
    </row>
    <row r="266" spans="1:125" ht="15" hidden="1" customHeight="1" x14ac:dyDescent="0.3">
      <c r="A266" s="1" t="str">
        <f t="shared" si="1092"/>
        <v>ADIFSE</v>
      </c>
      <c r="B266" s="1" t="str">
        <f t="shared" si="1093"/>
        <v>ADIFSE</v>
      </c>
      <c r="C266" s="1" t="str">
        <f t="shared" si="1094"/>
        <v>MAY</v>
      </c>
      <c r="D266" s="1" t="s">
        <v>108</v>
      </c>
      <c r="E266" s="150" t="str">
        <f t="shared" si="1095"/>
        <v xml:space="preserve">Transf. del Sector Privado </v>
      </c>
      <c r="F266" s="151" t="s">
        <v>183</v>
      </c>
      <c r="G266" s="1" t="s">
        <v>174</v>
      </c>
      <c r="H266" s="32" t="s">
        <v>184</v>
      </c>
      <c r="I266" s="32" t="s">
        <v>184</v>
      </c>
      <c r="J266" s="32" t="s">
        <v>463</v>
      </c>
      <c r="K266" s="38"/>
      <c r="L266" s="38"/>
      <c r="M266" s="38"/>
      <c r="N266" s="38"/>
      <c r="O266" s="38"/>
      <c r="P266" s="38"/>
      <c r="Q266" s="56"/>
      <c r="DU266" s="41"/>
    </row>
    <row r="267" spans="1:125" ht="15" hidden="1" customHeight="1" x14ac:dyDescent="0.3">
      <c r="A267" s="1" t="str">
        <f t="shared" si="1092"/>
        <v>ADIFSE</v>
      </c>
      <c r="B267" s="1" t="str">
        <f t="shared" si="1093"/>
        <v>ADIFSE</v>
      </c>
      <c r="C267" s="1" t="str">
        <f t="shared" si="1094"/>
        <v>MAY</v>
      </c>
      <c r="D267" s="1" t="s">
        <v>108</v>
      </c>
      <c r="E267" s="150" t="str">
        <f t="shared" si="1095"/>
        <v>Obtención de Préstamos</v>
      </c>
      <c r="F267" s="151">
        <v>37</v>
      </c>
      <c r="G267" s="1" t="s">
        <v>174</v>
      </c>
      <c r="H267" s="32" t="s">
        <v>185</v>
      </c>
      <c r="I267" s="32" t="s">
        <v>185</v>
      </c>
      <c r="J267" s="32" t="s">
        <v>463</v>
      </c>
      <c r="K267" s="38"/>
      <c r="L267" s="38"/>
      <c r="M267" s="38"/>
      <c r="N267" s="38"/>
      <c r="O267" s="38"/>
      <c r="P267" s="38"/>
      <c r="Q267" s="56"/>
      <c r="DU267" s="41"/>
    </row>
    <row r="268" spans="1:125" ht="15" hidden="1" customHeight="1" x14ac:dyDescent="0.3">
      <c r="A268" s="1" t="str">
        <f t="shared" si="1092"/>
        <v>ADIFSE</v>
      </c>
      <c r="B268" s="1" t="str">
        <f t="shared" si="1093"/>
        <v>ADIFSE</v>
      </c>
      <c r="C268" s="1" t="str">
        <f t="shared" si="1094"/>
        <v>MAY</v>
      </c>
      <c r="D268" s="1" t="s">
        <v>108</v>
      </c>
      <c r="E268" s="150" t="str">
        <f t="shared" si="1095"/>
        <v>Disminución de activos financieros/ Incremento de Pasivos</v>
      </c>
      <c r="F268" s="151" t="s">
        <v>186</v>
      </c>
      <c r="G268" s="1" t="s">
        <v>174</v>
      </c>
      <c r="H268" s="32" t="s">
        <v>187</v>
      </c>
      <c r="I268" s="32" t="s">
        <v>188</v>
      </c>
      <c r="J268" s="32" t="s">
        <v>463</v>
      </c>
      <c r="K268" s="38"/>
      <c r="L268" s="38"/>
      <c r="M268" s="38"/>
      <c r="N268" s="38"/>
      <c r="O268" s="38"/>
      <c r="P268" s="38"/>
      <c r="Q268" s="56"/>
      <c r="DU268" s="41"/>
    </row>
    <row r="269" spans="1:125" ht="15" hidden="1" customHeight="1" x14ac:dyDescent="0.3">
      <c r="A269" s="1" t="str">
        <f t="shared" si="1092"/>
        <v>ADIFSE</v>
      </c>
      <c r="B269" s="1" t="str">
        <f t="shared" si="1093"/>
        <v>ADIFSE</v>
      </c>
      <c r="C269" s="1" t="str">
        <f t="shared" si="1094"/>
        <v>MAY</v>
      </c>
      <c r="D269" s="1" t="s">
        <v>108</v>
      </c>
      <c r="E269" s="154" t="str">
        <f>CONCATENATE(E261," - ",I269)</f>
        <v>Otros Recursos - Total</v>
      </c>
      <c r="F269" s="153"/>
      <c r="G269" s="1" t="s">
        <v>174</v>
      </c>
      <c r="H269" s="32" t="s">
        <v>173</v>
      </c>
      <c r="I269" s="32" t="s">
        <v>173</v>
      </c>
      <c r="J269" s="32" t="s">
        <v>463</v>
      </c>
      <c r="K269" s="46"/>
      <c r="L269" s="55"/>
      <c r="M269" s="55"/>
      <c r="N269" s="55"/>
      <c r="O269" s="55"/>
      <c r="P269" s="55"/>
      <c r="Q269" s="55"/>
      <c r="DU269" s="41"/>
    </row>
    <row r="270" spans="1:125" ht="15" hidden="1" customHeight="1" x14ac:dyDescent="0.3">
      <c r="A270" s="1" t="str">
        <f t="shared" si="1092"/>
        <v>ADIFSE</v>
      </c>
      <c r="B270" s="1" t="str">
        <f t="shared" si="1093"/>
        <v>ADIFSE</v>
      </c>
      <c r="C270" s="1" t="str">
        <f t="shared" si="1094"/>
        <v>MAY</v>
      </c>
      <c r="D270" s="1" t="s">
        <v>108</v>
      </c>
      <c r="E270" s="154"/>
      <c r="F270" s="153"/>
      <c r="G270" s="1"/>
      <c r="H270" s="32"/>
      <c r="I270" s="32"/>
      <c r="J270" s="32"/>
      <c r="K270" s="46"/>
      <c r="L270" s="46"/>
      <c r="M270" s="46"/>
      <c r="N270" s="46"/>
      <c r="O270" s="46"/>
      <c r="P270" s="46"/>
      <c r="Q270" s="56"/>
      <c r="DU270" s="41"/>
    </row>
    <row r="271" spans="1:125" ht="15" hidden="1" customHeight="1" x14ac:dyDescent="0.3">
      <c r="A271" s="1" t="str">
        <f t="shared" si="1092"/>
        <v>ADIFSE</v>
      </c>
      <c r="B271" s="1" t="str">
        <f t="shared" si="1093"/>
        <v>ADIFSE</v>
      </c>
      <c r="C271" s="1" t="str">
        <f t="shared" si="1094"/>
        <v>MAY</v>
      </c>
      <c r="D271" s="1" t="s">
        <v>108</v>
      </c>
      <c r="E271" s="152" t="s">
        <v>189</v>
      </c>
      <c r="F271" s="153"/>
      <c r="G271" s="1"/>
      <c r="H271" s="32"/>
      <c r="I271" s="32"/>
      <c r="J271" s="32"/>
      <c r="K271" s="46"/>
      <c r="L271" s="46"/>
      <c r="M271" s="46"/>
      <c r="N271" s="46"/>
      <c r="O271" s="46"/>
      <c r="P271" s="46"/>
      <c r="Q271" s="56"/>
      <c r="DU271" s="41"/>
    </row>
    <row r="272" spans="1:125" ht="15" hidden="1" customHeight="1" x14ac:dyDescent="0.3">
      <c r="A272" s="1" t="str">
        <f t="shared" si="1092"/>
        <v>ADIFSE</v>
      </c>
      <c r="B272" s="1" t="str">
        <f t="shared" si="1093"/>
        <v>ADIFSE</v>
      </c>
      <c r="C272" s="1" t="str">
        <f t="shared" si="1094"/>
        <v>MAY</v>
      </c>
      <c r="D272" s="1" t="s">
        <v>108</v>
      </c>
      <c r="E272" s="150" t="str">
        <f>H272</f>
        <v>Personal</v>
      </c>
      <c r="F272" s="151">
        <v>1</v>
      </c>
      <c r="G272" s="1" t="s">
        <v>189</v>
      </c>
      <c r="H272" s="32" t="s">
        <v>191</v>
      </c>
      <c r="I272" s="32" t="s">
        <v>191</v>
      </c>
      <c r="J272" s="32" t="s">
        <v>463</v>
      </c>
      <c r="K272" s="38"/>
      <c r="L272" s="38"/>
      <c r="M272" s="38"/>
      <c r="N272" s="38"/>
      <c r="O272" s="38"/>
      <c r="P272" s="38"/>
      <c r="Q272" s="35"/>
      <c r="DU272" s="1"/>
    </row>
    <row r="273" spans="1:125" ht="15" hidden="1" customHeight="1" x14ac:dyDescent="0.3">
      <c r="A273" s="1" t="str">
        <f t="shared" si="1092"/>
        <v>ADIFSE</v>
      </c>
      <c r="B273" s="1" t="str">
        <f t="shared" si="1093"/>
        <v>ADIFSE</v>
      </c>
      <c r="C273" s="1" t="str">
        <f t="shared" si="1094"/>
        <v>MAY</v>
      </c>
      <c r="D273" s="1" t="s">
        <v>108</v>
      </c>
      <c r="E273" s="150" t="str">
        <f>H273</f>
        <v>Bienes de Consumo</v>
      </c>
      <c r="F273" s="151">
        <v>2</v>
      </c>
      <c r="G273" s="1" t="s">
        <v>189</v>
      </c>
      <c r="H273" s="32" t="s">
        <v>192</v>
      </c>
      <c r="I273" s="32" t="s">
        <v>192</v>
      </c>
      <c r="J273" s="32" t="s">
        <v>463</v>
      </c>
      <c r="K273" s="38"/>
      <c r="L273" s="38"/>
      <c r="M273" s="38"/>
      <c r="N273" s="38"/>
      <c r="O273" s="38"/>
      <c r="P273" s="38"/>
      <c r="Q273" s="35"/>
      <c r="DU273" s="1"/>
    </row>
    <row r="274" spans="1:125" ht="15" hidden="1" customHeight="1" x14ac:dyDescent="0.3">
      <c r="A274" s="1" t="str">
        <f t="shared" si="1092"/>
        <v>ADIFSE</v>
      </c>
      <c r="B274" s="1" t="str">
        <f t="shared" si="1093"/>
        <v>ADIFSE</v>
      </c>
      <c r="C274" s="1" t="str">
        <f t="shared" si="1094"/>
        <v>MAY</v>
      </c>
      <c r="D274" s="1" t="s">
        <v>108</v>
      </c>
      <c r="E274" s="156"/>
      <c r="F274" s="157"/>
      <c r="G274" s="16"/>
      <c r="H274" s="7"/>
      <c r="I274" s="7"/>
      <c r="J274" s="7"/>
      <c r="K274" s="38"/>
      <c r="L274" s="38"/>
      <c r="M274" s="38"/>
      <c r="N274" s="38"/>
      <c r="O274" s="38"/>
      <c r="P274" s="38"/>
      <c r="Q274" s="35"/>
      <c r="DU274" s="16"/>
    </row>
    <row r="275" spans="1:125" ht="15" hidden="1" customHeight="1" x14ac:dyDescent="0.3">
      <c r="A275" s="1" t="str">
        <f t="shared" si="1092"/>
        <v>ADIFSE</v>
      </c>
      <c r="B275" s="1" t="str">
        <f t="shared" si="1093"/>
        <v>ADIFSE</v>
      </c>
      <c r="C275" s="1" t="str">
        <f t="shared" si="1094"/>
        <v>MAY</v>
      </c>
      <c r="D275" s="1" t="s">
        <v>108</v>
      </c>
      <c r="E275" s="158" t="s">
        <v>193</v>
      </c>
      <c r="F275" s="157"/>
      <c r="G275" s="16"/>
      <c r="H275" s="7"/>
      <c r="I275" s="7"/>
      <c r="J275" s="7"/>
      <c r="K275" s="38"/>
      <c r="L275" s="38"/>
      <c r="M275" s="38"/>
      <c r="N275" s="38"/>
      <c r="O275" s="38"/>
      <c r="P275" s="38"/>
      <c r="Q275" s="35"/>
      <c r="DU275" s="16"/>
    </row>
    <row r="276" spans="1:125" ht="15" hidden="1" customHeight="1" x14ac:dyDescent="0.3">
      <c r="A276" s="1" t="str">
        <f t="shared" si="1092"/>
        <v>ADIFSE</v>
      </c>
      <c r="B276" s="1" t="str">
        <f t="shared" si="1093"/>
        <v>ADIFSE</v>
      </c>
      <c r="C276" s="1" t="str">
        <f t="shared" si="1094"/>
        <v>MAY</v>
      </c>
      <c r="D276" s="1" t="s">
        <v>108</v>
      </c>
      <c r="E276" s="155" t="str">
        <f t="shared" ref="E276:E285" si="1096">CONCATENATE(H276," - ",I276)</f>
        <v>Servicios - Servicios Básicos</v>
      </c>
      <c r="F276" s="151">
        <v>31</v>
      </c>
      <c r="G276" s="1" t="s">
        <v>189</v>
      </c>
      <c r="H276" s="32" t="s">
        <v>193</v>
      </c>
      <c r="I276" s="32" t="s">
        <v>194</v>
      </c>
      <c r="J276" s="32" t="s">
        <v>463</v>
      </c>
      <c r="K276" s="38"/>
      <c r="L276" s="38"/>
      <c r="M276" s="38"/>
      <c r="N276" s="38"/>
      <c r="O276" s="38"/>
      <c r="P276" s="38"/>
      <c r="Q276" s="35"/>
      <c r="DU276" s="1"/>
    </row>
    <row r="277" spans="1:125" ht="15" hidden="1" customHeight="1" x14ac:dyDescent="0.3">
      <c r="A277" s="1" t="str">
        <f t="shared" si="1092"/>
        <v>ADIFSE</v>
      </c>
      <c r="B277" s="1" t="str">
        <f t="shared" si="1093"/>
        <v>ADIFSE</v>
      </c>
      <c r="C277" s="1" t="str">
        <f t="shared" si="1094"/>
        <v>MAY</v>
      </c>
      <c r="D277" s="1" t="s">
        <v>108</v>
      </c>
      <c r="E277" s="155" t="str">
        <f t="shared" si="1096"/>
        <v>Servicios - Alquileres y Derechos</v>
      </c>
      <c r="F277" s="151">
        <v>32</v>
      </c>
      <c r="G277" s="1" t="s">
        <v>189</v>
      </c>
      <c r="H277" s="32" t="s">
        <v>193</v>
      </c>
      <c r="I277" s="32" t="s">
        <v>195</v>
      </c>
      <c r="J277" s="32" t="s">
        <v>463</v>
      </c>
      <c r="K277" s="38"/>
      <c r="L277" s="38"/>
      <c r="M277" s="38"/>
      <c r="N277" s="38"/>
      <c r="O277" s="38"/>
      <c r="P277" s="38"/>
      <c r="Q277" s="35"/>
      <c r="DU277" s="1"/>
    </row>
    <row r="278" spans="1:125" ht="15" hidden="1" customHeight="1" x14ac:dyDescent="0.3">
      <c r="A278" s="1" t="str">
        <f t="shared" si="1092"/>
        <v>ADIFSE</v>
      </c>
      <c r="B278" s="1" t="str">
        <f t="shared" si="1093"/>
        <v>ADIFSE</v>
      </c>
      <c r="C278" s="1" t="str">
        <f t="shared" si="1094"/>
        <v>MAY</v>
      </c>
      <c r="D278" s="1" t="s">
        <v>108</v>
      </c>
      <c r="E278" s="155" t="str">
        <f t="shared" si="1096"/>
        <v>Servicios - Mantenimiento, Reparación y Limpieza</v>
      </c>
      <c r="F278" s="151">
        <v>33</v>
      </c>
      <c r="G278" s="1" t="s">
        <v>189</v>
      </c>
      <c r="H278" s="32" t="s">
        <v>193</v>
      </c>
      <c r="I278" s="32" t="s">
        <v>196</v>
      </c>
      <c r="J278" s="32" t="s">
        <v>463</v>
      </c>
      <c r="K278" s="38"/>
      <c r="L278" s="38"/>
      <c r="M278" s="38"/>
      <c r="N278" s="38"/>
      <c r="O278" s="38"/>
      <c r="P278" s="38"/>
      <c r="Q278" s="35"/>
      <c r="DU278" s="1"/>
    </row>
    <row r="279" spans="1:125" ht="15" hidden="1" customHeight="1" x14ac:dyDescent="0.3">
      <c r="A279" s="1" t="str">
        <f t="shared" si="1092"/>
        <v>ADIFSE</v>
      </c>
      <c r="B279" s="1" t="str">
        <f t="shared" si="1093"/>
        <v>ADIFSE</v>
      </c>
      <c r="C279" s="1" t="str">
        <f t="shared" si="1094"/>
        <v>MAY</v>
      </c>
      <c r="D279" s="1" t="s">
        <v>108</v>
      </c>
      <c r="E279" s="155" t="str">
        <f t="shared" si="1096"/>
        <v>Servicios - Técnicos y Profesionales</v>
      </c>
      <c r="F279" s="151">
        <v>34</v>
      </c>
      <c r="G279" s="1" t="s">
        <v>189</v>
      </c>
      <c r="H279" s="32" t="s">
        <v>193</v>
      </c>
      <c r="I279" s="32" t="s">
        <v>197</v>
      </c>
      <c r="J279" s="32" t="s">
        <v>463</v>
      </c>
      <c r="K279" s="38"/>
      <c r="L279" s="38"/>
      <c r="M279" s="38"/>
      <c r="N279" s="38"/>
      <c r="O279" s="38"/>
      <c r="P279" s="38"/>
      <c r="Q279" s="35"/>
      <c r="DU279" s="1"/>
    </row>
    <row r="280" spans="1:125" ht="15" hidden="1" customHeight="1" x14ac:dyDescent="0.3">
      <c r="A280" s="1" t="str">
        <f t="shared" si="1092"/>
        <v>ADIFSE</v>
      </c>
      <c r="B280" s="1" t="str">
        <f t="shared" si="1093"/>
        <v>ADIFSE</v>
      </c>
      <c r="C280" s="1" t="str">
        <f t="shared" si="1094"/>
        <v>MAY</v>
      </c>
      <c r="D280" s="1" t="s">
        <v>108</v>
      </c>
      <c r="E280" s="155" t="str">
        <f t="shared" si="1096"/>
        <v>Servicios - Comerciales y Financieros</v>
      </c>
      <c r="F280" s="151">
        <v>35</v>
      </c>
      <c r="G280" s="1" t="s">
        <v>189</v>
      </c>
      <c r="H280" s="32" t="s">
        <v>193</v>
      </c>
      <c r="I280" s="32" t="s">
        <v>198</v>
      </c>
      <c r="J280" s="32" t="s">
        <v>463</v>
      </c>
      <c r="K280" s="38"/>
      <c r="L280" s="38"/>
      <c r="M280" s="38"/>
      <c r="N280" s="38"/>
      <c r="O280" s="38"/>
      <c r="P280" s="38"/>
      <c r="Q280" s="35"/>
      <c r="DU280" s="1"/>
    </row>
    <row r="281" spans="1:125" ht="15" hidden="1" customHeight="1" x14ac:dyDescent="0.3">
      <c r="A281" s="1" t="str">
        <f t="shared" si="1092"/>
        <v>ADIFSE</v>
      </c>
      <c r="B281" s="1" t="str">
        <f t="shared" si="1093"/>
        <v>ADIFSE</v>
      </c>
      <c r="C281" s="1" t="str">
        <f t="shared" si="1094"/>
        <v>MAY</v>
      </c>
      <c r="D281" s="1" t="s">
        <v>108</v>
      </c>
      <c r="E281" s="155" t="str">
        <f t="shared" si="1096"/>
        <v>Servicios - Publicidad y Propaganda</v>
      </c>
      <c r="F281" s="151">
        <v>36</v>
      </c>
      <c r="G281" s="1" t="s">
        <v>189</v>
      </c>
      <c r="H281" s="32" t="s">
        <v>193</v>
      </c>
      <c r="I281" s="32" t="s">
        <v>199</v>
      </c>
      <c r="J281" s="32" t="s">
        <v>463</v>
      </c>
      <c r="K281" s="38"/>
      <c r="L281" s="38"/>
      <c r="M281" s="38"/>
      <c r="N281" s="38"/>
      <c r="O281" s="38"/>
      <c r="P281" s="38"/>
      <c r="Q281" s="35"/>
      <c r="DU281" s="1"/>
    </row>
    <row r="282" spans="1:125" ht="15" hidden="1" customHeight="1" x14ac:dyDescent="0.3">
      <c r="A282" s="1" t="str">
        <f t="shared" si="1092"/>
        <v>ADIFSE</v>
      </c>
      <c r="B282" s="1" t="str">
        <f t="shared" si="1093"/>
        <v>ADIFSE</v>
      </c>
      <c r="C282" s="1" t="str">
        <f t="shared" si="1094"/>
        <v>MAY</v>
      </c>
      <c r="D282" s="1" t="s">
        <v>108</v>
      </c>
      <c r="E282" s="155" t="str">
        <f t="shared" si="1096"/>
        <v>Servicios - Pasajes y Viáticos</v>
      </c>
      <c r="F282" s="151">
        <v>37</v>
      </c>
      <c r="G282" s="1" t="s">
        <v>189</v>
      </c>
      <c r="H282" s="32" t="s">
        <v>193</v>
      </c>
      <c r="I282" s="32" t="s">
        <v>200</v>
      </c>
      <c r="J282" s="32" t="s">
        <v>463</v>
      </c>
      <c r="K282" s="38"/>
      <c r="L282" s="38"/>
      <c r="M282" s="38"/>
      <c r="N282" s="38"/>
      <c r="O282" s="38"/>
      <c r="P282" s="38"/>
      <c r="Q282" s="35"/>
      <c r="DU282" s="1"/>
    </row>
    <row r="283" spans="1:125" ht="15" hidden="1" customHeight="1" x14ac:dyDescent="0.3">
      <c r="A283" s="1" t="str">
        <f t="shared" si="1092"/>
        <v>ADIFSE</v>
      </c>
      <c r="B283" s="1" t="str">
        <f t="shared" si="1093"/>
        <v>ADIFSE</v>
      </c>
      <c r="C283" s="1" t="str">
        <f t="shared" si="1094"/>
        <v>MAY</v>
      </c>
      <c r="D283" s="1" t="s">
        <v>108</v>
      </c>
      <c r="E283" s="155" t="str">
        <f t="shared" si="1096"/>
        <v>Servicios - Impuestos, Derechos, Tasas y Juicios</v>
      </c>
      <c r="F283" s="151">
        <v>38</v>
      </c>
      <c r="G283" s="1" t="s">
        <v>189</v>
      </c>
      <c r="H283" s="32" t="s">
        <v>193</v>
      </c>
      <c r="I283" s="32" t="s">
        <v>201</v>
      </c>
      <c r="J283" s="32" t="s">
        <v>463</v>
      </c>
      <c r="K283" s="38"/>
      <c r="L283" s="38"/>
      <c r="M283" s="38"/>
      <c r="N283" s="38"/>
      <c r="O283" s="38"/>
      <c r="P283" s="38"/>
      <c r="Q283" s="35"/>
      <c r="DU283" s="1"/>
    </row>
    <row r="284" spans="1:125" ht="15" hidden="1" customHeight="1" x14ac:dyDescent="0.3">
      <c r="A284" s="1" t="str">
        <f t="shared" si="1092"/>
        <v>ADIFSE</v>
      </c>
      <c r="B284" s="1" t="str">
        <f t="shared" si="1093"/>
        <v>ADIFSE</v>
      </c>
      <c r="C284" s="1" t="str">
        <f t="shared" si="1094"/>
        <v>MAY</v>
      </c>
      <c r="D284" s="1" t="s">
        <v>108</v>
      </c>
      <c r="E284" s="155" t="str">
        <f t="shared" si="1096"/>
        <v>Servicios - Otros</v>
      </c>
      <c r="F284" s="151">
        <v>39</v>
      </c>
      <c r="G284" s="1" t="s">
        <v>189</v>
      </c>
      <c r="H284" s="32" t="s">
        <v>193</v>
      </c>
      <c r="I284" s="32" t="s">
        <v>202</v>
      </c>
      <c r="J284" s="32" t="s">
        <v>463</v>
      </c>
      <c r="K284" s="38"/>
      <c r="L284" s="38"/>
      <c r="M284" s="38"/>
      <c r="N284" s="38"/>
      <c r="O284" s="38"/>
      <c r="P284" s="38"/>
      <c r="Q284" s="35"/>
      <c r="DU284" s="1"/>
    </row>
    <row r="285" spans="1:125" ht="15" hidden="1" customHeight="1" x14ac:dyDescent="0.3">
      <c r="A285" s="1" t="str">
        <f t="shared" si="1092"/>
        <v>ADIFSE</v>
      </c>
      <c r="B285" s="1" t="str">
        <f t="shared" si="1093"/>
        <v>ADIFSE</v>
      </c>
      <c r="C285" s="1" t="str">
        <f t="shared" si="1094"/>
        <v>MAY</v>
      </c>
      <c r="D285" s="1" t="s">
        <v>108</v>
      </c>
      <c r="E285" s="159" t="str">
        <f t="shared" si="1096"/>
        <v>Servicios - Total</v>
      </c>
      <c r="F285" s="157">
        <v>3</v>
      </c>
      <c r="G285" s="16" t="s">
        <v>189</v>
      </c>
      <c r="H285" s="7" t="s">
        <v>193</v>
      </c>
      <c r="I285" s="7" t="s">
        <v>173</v>
      </c>
      <c r="J285" s="7" t="s">
        <v>463</v>
      </c>
      <c r="K285" s="66"/>
      <c r="L285" s="66"/>
      <c r="M285" s="66"/>
      <c r="N285" s="66"/>
      <c r="O285" s="66"/>
      <c r="P285" s="66"/>
      <c r="Q285" s="67"/>
      <c r="DU285" s="1"/>
    </row>
    <row r="286" spans="1:125" ht="15" hidden="1" customHeight="1" x14ac:dyDescent="0.3">
      <c r="A286" s="1" t="str">
        <f t="shared" si="1092"/>
        <v>ADIFSE</v>
      </c>
      <c r="B286" s="1" t="str">
        <f t="shared" si="1093"/>
        <v>ADIFSE</v>
      </c>
      <c r="C286" s="1" t="str">
        <f t="shared" si="1094"/>
        <v>MAY</v>
      </c>
      <c r="D286" s="1" t="s">
        <v>108</v>
      </c>
      <c r="E286" s="160"/>
      <c r="F286" s="157"/>
      <c r="G286" s="16"/>
      <c r="H286" s="7"/>
      <c r="I286" s="7"/>
      <c r="J286" s="7"/>
      <c r="K286" s="66"/>
      <c r="L286" s="66"/>
      <c r="M286" s="66"/>
      <c r="N286" s="66"/>
      <c r="O286" s="66"/>
      <c r="P286" s="66"/>
      <c r="Q286" s="67"/>
      <c r="DU286" s="1"/>
    </row>
    <row r="287" spans="1:125" ht="15" hidden="1" customHeight="1" x14ac:dyDescent="0.3">
      <c r="A287" s="1" t="str">
        <f t="shared" si="1092"/>
        <v>ADIFSE</v>
      </c>
      <c r="B287" s="1" t="str">
        <f t="shared" si="1093"/>
        <v>ADIFSE</v>
      </c>
      <c r="C287" s="1" t="str">
        <f t="shared" si="1094"/>
        <v>MAY</v>
      </c>
      <c r="D287" s="1" t="s">
        <v>108</v>
      </c>
      <c r="E287" s="161" t="s">
        <v>222</v>
      </c>
      <c r="F287" s="157"/>
      <c r="G287" s="16"/>
      <c r="H287" s="7"/>
      <c r="I287" s="7"/>
      <c r="J287" s="7"/>
      <c r="K287" s="66"/>
      <c r="L287" s="66"/>
      <c r="M287" s="66"/>
      <c r="N287" s="66"/>
      <c r="O287" s="66"/>
      <c r="P287" s="66"/>
      <c r="Q287" s="67"/>
      <c r="DU287" s="1"/>
    </row>
    <row r="288" spans="1:125" ht="15" hidden="1" customHeight="1" x14ac:dyDescent="0.3">
      <c r="A288" s="1" t="str">
        <f t="shared" si="1092"/>
        <v>ADIFSE</v>
      </c>
      <c r="B288" s="1" t="str">
        <f t="shared" si="1093"/>
        <v>ADIFSE</v>
      </c>
      <c r="C288" s="1" t="str">
        <f t="shared" si="1094"/>
        <v>MAY</v>
      </c>
      <c r="D288" s="1" t="s">
        <v>108</v>
      </c>
      <c r="E288" s="160" t="str">
        <f t="shared" ref="E288:E289" si="1097">CONCATENATE(H288," - ",I288)</f>
        <v>Transferencias al Sector Privado - Aerolíneas Argentinas</v>
      </c>
      <c r="F288" s="157" t="s">
        <v>204</v>
      </c>
      <c r="G288" s="16" t="s">
        <v>189</v>
      </c>
      <c r="H288" s="7" t="s">
        <v>205</v>
      </c>
      <c r="I288" s="7" t="s">
        <v>206</v>
      </c>
      <c r="J288" s="7" t="s">
        <v>463</v>
      </c>
      <c r="K288" s="38"/>
      <c r="L288" s="38"/>
      <c r="M288" s="38"/>
      <c r="N288" s="38"/>
      <c r="O288" s="38"/>
      <c r="P288" s="38"/>
      <c r="Q288" s="35"/>
      <c r="DU288" s="1"/>
    </row>
    <row r="289" spans="1:125" ht="15" hidden="1" customHeight="1" x14ac:dyDescent="0.3">
      <c r="A289" s="1" t="str">
        <f t="shared" si="1092"/>
        <v>ADIFSE</v>
      </c>
      <c r="B289" s="1" t="str">
        <f t="shared" si="1093"/>
        <v>ADIFSE</v>
      </c>
      <c r="C289" s="1" t="str">
        <f t="shared" si="1094"/>
        <v>MAY</v>
      </c>
      <c r="D289" s="1" t="s">
        <v>108</v>
      </c>
      <c r="E289" s="160" t="str">
        <f t="shared" si="1097"/>
        <v>Transferencias al Sector Privado - Resto</v>
      </c>
      <c r="F289" s="157" t="s">
        <v>207</v>
      </c>
      <c r="G289" s="16" t="s">
        <v>189</v>
      </c>
      <c r="H289" s="7" t="s">
        <v>205</v>
      </c>
      <c r="I289" s="7" t="s">
        <v>208</v>
      </c>
      <c r="J289" s="7" t="s">
        <v>463</v>
      </c>
      <c r="K289" s="38"/>
      <c r="L289" s="38"/>
      <c r="M289" s="38"/>
      <c r="N289" s="38"/>
      <c r="O289" s="38"/>
      <c r="P289" s="38"/>
      <c r="Q289" s="35"/>
      <c r="DU289" s="1"/>
    </row>
    <row r="290" spans="1:125" ht="15" hidden="1" customHeight="1" x14ac:dyDescent="0.3">
      <c r="A290" s="1" t="str">
        <f t="shared" si="1092"/>
        <v>ADIFSE</v>
      </c>
      <c r="B290" s="1" t="str">
        <f t="shared" si="1093"/>
        <v>ADIFSE</v>
      </c>
      <c r="C290" s="1" t="str">
        <f t="shared" si="1094"/>
        <v>MAY</v>
      </c>
      <c r="D290" s="1" t="s">
        <v>108</v>
      </c>
      <c r="E290" s="162" t="str">
        <f>CONCATENATE(H290," - ",I290)</f>
        <v>Transferencias al Sector Privado - Total</v>
      </c>
      <c r="F290" s="157">
        <v>51</v>
      </c>
      <c r="G290" s="16" t="s">
        <v>189</v>
      </c>
      <c r="H290" s="7" t="s">
        <v>205</v>
      </c>
      <c r="I290" s="7" t="s">
        <v>173</v>
      </c>
      <c r="J290" s="7" t="s">
        <v>463</v>
      </c>
      <c r="K290" s="37"/>
      <c r="L290" s="37"/>
      <c r="M290" s="37"/>
      <c r="N290" s="37"/>
      <c r="O290" s="37"/>
      <c r="P290" s="37"/>
      <c r="Q290" s="35"/>
      <c r="DU290" s="16"/>
    </row>
    <row r="291" spans="1:125" ht="15" hidden="1" customHeight="1" x14ac:dyDescent="0.3">
      <c r="A291" s="1" t="str">
        <f t="shared" si="1092"/>
        <v>ADIFSE</v>
      </c>
      <c r="B291" s="1" t="str">
        <f t="shared" si="1093"/>
        <v>ADIFSE</v>
      </c>
      <c r="C291" s="1" t="str">
        <f t="shared" si="1094"/>
        <v>MAY</v>
      </c>
      <c r="D291" s="1" t="s">
        <v>108</v>
      </c>
      <c r="E291" s="160" t="str">
        <f t="shared" ref="E291:E295" si="1098">CONCATENATE(H291," - ",I291)</f>
        <v>Transferencias a Empresas y Otros Entes - BCyL</v>
      </c>
      <c r="F291" s="157" t="s">
        <v>209</v>
      </c>
      <c r="G291" s="16" t="s">
        <v>189</v>
      </c>
      <c r="H291" s="7" t="s">
        <v>210</v>
      </c>
      <c r="I291" s="7" t="s">
        <v>211</v>
      </c>
      <c r="J291" s="7" t="s">
        <v>463</v>
      </c>
      <c r="K291" s="38"/>
      <c r="L291" s="38"/>
      <c r="M291" s="38"/>
      <c r="N291" s="38"/>
      <c r="O291" s="38"/>
      <c r="P291" s="38"/>
      <c r="Q291" s="35"/>
      <c r="DU291" s="1"/>
    </row>
    <row r="292" spans="1:125" ht="15" hidden="1" customHeight="1" x14ac:dyDescent="0.3">
      <c r="A292" s="1" t="str">
        <f t="shared" si="1092"/>
        <v>ADIFSE</v>
      </c>
      <c r="B292" s="1" t="str">
        <f t="shared" si="1093"/>
        <v>ADIFSE</v>
      </c>
      <c r="C292" s="1" t="str">
        <f t="shared" si="1094"/>
        <v>MAY</v>
      </c>
      <c r="D292" s="1" t="s">
        <v>108</v>
      </c>
      <c r="E292" s="160" t="str">
        <f t="shared" si="1098"/>
        <v>Transferencias a Empresas y Otros Entes - ADIF</v>
      </c>
      <c r="F292" s="157" t="s">
        <v>212</v>
      </c>
      <c r="G292" s="16" t="s">
        <v>189</v>
      </c>
      <c r="H292" s="7" t="s">
        <v>210</v>
      </c>
      <c r="I292" s="7" t="s">
        <v>213</v>
      </c>
      <c r="J292" s="7" t="s">
        <v>463</v>
      </c>
      <c r="K292" s="38"/>
      <c r="L292" s="38"/>
      <c r="M292" s="38"/>
      <c r="N292" s="38"/>
      <c r="O292" s="38"/>
      <c r="P292" s="38"/>
      <c r="Q292" s="35"/>
      <c r="DU292" s="1"/>
    </row>
    <row r="293" spans="1:125" ht="15" hidden="1" customHeight="1" x14ac:dyDescent="0.3">
      <c r="A293" s="1" t="str">
        <f t="shared" si="1092"/>
        <v>ADIFSE</v>
      </c>
      <c r="B293" s="1" t="str">
        <f t="shared" si="1093"/>
        <v>ADIFSE</v>
      </c>
      <c r="C293" s="1" t="str">
        <f t="shared" si="1094"/>
        <v>MAY</v>
      </c>
      <c r="D293" s="1" t="s">
        <v>108</v>
      </c>
      <c r="E293" s="160" t="str">
        <f t="shared" si="1098"/>
        <v>Transferencias a Empresas y Otros Entes - SOFSE</v>
      </c>
      <c r="F293" s="157" t="s">
        <v>214</v>
      </c>
      <c r="G293" s="16" t="s">
        <v>189</v>
      </c>
      <c r="H293" s="7" t="s">
        <v>210</v>
      </c>
      <c r="I293" s="7" t="s">
        <v>215</v>
      </c>
      <c r="J293" s="7" t="s">
        <v>463</v>
      </c>
      <c r="K293" s="38"/>
      <c r="L293" s="38"/>
      <c r="M293" s="38"/>
      <c r="N293" s="38"/>
      <c r="O293" s="38"/>
      <c r="P293" s="38"/>
      <c r="Q293" s="35"/>
      <c r="DU293" s="1"/>
    </row>
    <row r="294" spans="1:125" ht="15" hidden="1" customHeight="1" x14ac:dyDescent="0.3">
      <c r="A294" s="1" t="str">
        <f t="shared" si="1092"/>
        <v>ADIFSE</v>
      </c>
      <c r="B294" s="1" t="str">
        <f t="shared" si="1093"/>
        <v>ADIFSE</v>
      </c>
      <c r="C294" s="1" t="str">
        <f t="shared" si="1094"/>
        <v>MAY</v>
      </c>
      <c r="D294" s="1" t="s">
        <v>108</v>
      </c>
      <c r="E294" s="160" t="str">
        <f t="shared" si="1098"/>
        <v>Transferencias a Empresas y Otros Entes - Fondo Fiduciario de Infraestructura de Transporte</v>
      </c>
      <c r="F294" s="157" t="s">
        <v>216</v>
      </c>
      <c r="G294" s="16" t="s">
        <v>189</v>
      </c>
      <c r="H294" s="7" t="s">
        <v>210</v>
      </c>
      <c r="I294" s="7" t="s">
        <v>217</v>
      </c>
      <c r="J294" s="7" t="s">
        <v>463</v>
      </c>
      <c r="K294" s="38"/>
      <c r="L294" s="38"/>
      <c r="M294" s="38"/>
      <c r="N294" s="38"/>
      <c r="O294" s="38"/>
      <c r="P294" s="38"/>
      <c r="Q294" s="35"/>
      <c r="DU294" s="1"/>
    </row>
    <row r="295" spans="1:125" ht="15" hidden="1" customHeight="1" x14ac:dyDescent="0.3">
      <c r="A295" s="1" t="str">
        <f t="shared" si="1092"/>
        <v>ADIFSE</v>
      </c>
      <c r="B295" s="1" t="str">
        <f t="shared" si="1093"/>
        <v>ADIFSE</v>
      </c>
      <c r="C295" s="1" t="str">
        <f t="shared" si="1094"/>
        <v>MAY</v>
      </c>
      <c r="D295" s="1" t="s">
        <v>108</v>
      </c>
      <c r="E295" s="160" t="str">
        <f t="shared" si="1098"/>
        <v>Transferencias a Empresas y Otros Entes - Resto</v>
      </c>
      <c r="F295" s="157" t="s">
        <v>218</v>
      </c>
      <c r="G295" s="16" t="s">
        <v>189</v>
      </c>
      <c r="H295" s="7" t="s">
        <v>210</v>
      </c>
      <c r="I295" s="7" t="s">
        <v>208</v>
      </c>
      <c r="J295" s="7" t="s">
        <v>463</v>
      </c>
      <c r="K295" s="38"/>
      <c r="L295" s="38"/>
      <c r="M295" s="38"/>
      <c r="N295" s="38"/>
      <c r="O295" s="38"/>
      <c r="P295" s="38"/>
      <c r="Q295" s="35"/>
      <c r="DU295" s="1"/>
    </row>
    <row r="296" spans="1:125" ht="15" hidden="1" customHeight="1" x14ac:dyDescent="0.3">
      <c r="A296" s="1" t="str">
        <f t="shared" si="1092"/>
        <v>ADIFSE</v>
      </c>
      <c r="B296" s="1" t="str">
        <f t="shared" si="1093"/>
        <v>ADIFSE</v>
      </c>
      <c r="C296" s="1" t="str">
        <f t="shared" si="1094"/>
        <v>MAY</v>
      </c>
      <c r="D296" s="1" t="s">
        <v>108</v>
      </c>
      <c r="E296" s="162" t="str">
        <f>CONCATENATE(H296," - ",I296)</f>
        <v>Transferencias a Empresas y Otros Entes - Empresas Públicas y Otros Entes</v>
      </c>
      <c r="F296" s="157" t="s">
        <v>219</v>
      </c>
      <c r="G296" s="16" t="s">
        <v>189</v>
      </c>
      <c r="H296" s="7" t="s">
        <v>210</v>
      </c>
      <c r="I296" s="7" t="s">
        <v>220</v>
      </c>
      <c r="J296" s="7" t="s">
        <v>463</v>
      </c>
      <c r="K296" s="37"/>
      <c r="L296" s="38"/>
      <c r="M296" s="38"/>
      <c r="N296" s="38"/>
      <c r="O296" s="38"/>
      <c r="P296" s="38"/>
      <c r="Q296" s="35"/>
      <c r="DU296" s="16"/>
    </row>
    <row r="297" spans="1:125" ht="15" hidden="1" customHeight="1" x14ac:dyDescent="0.3">
      <c r="A297" s="1" t="str">
        <f t="shared" si="1092"/>
        <v>ADIFSE</v>
      </c>
      <c r="B297" s="1" t="str">
        <f t="shared" si="1093"/>
        <v>ADIFSE</v>
      </c>
      <c r="C297" s="1" t="str">
        <f t="shared" si="1094"/>
        <v>MAY</v>
      </c>
      <c r="D297" s="1" t="s">
        <v>108</v>
      </c>
      <c r="E297" s="160" t="str">
        <f t="shared" ref="E297:E298" si="1099">CONCATENATE(H297," - ",I297)</f>
        <v>Transferencias - Otros</v>
      </c>
      <c r="F297" s="157" t="s">
        <v>221</v>
      </c>
      <c r="G297" s="16" t="s">
        <v>189</v>
      </c>
      <c r="H297" s="7" t="s">
        <v>222</v>
      </c>
      <c r="I297" s="7" t="s">
        <v>202</v>
      </c>
      <c r="J297" s="7" t="s">
        <v>463</v>
      </c>
      <c r="K297" s="38"/>
      <c r="L297" s="38"/>
      <c r="M297" s="38"/>
      <c r="N297" s="38"/>
      <c r="O297" s="38"/>
      <c r="P297" s="38"/>
      <c r="Q297" s="35"/>
      <c r="DU297" s="1"/>
    </row>
    <row r="298" spans="1:125" ht="15" hidden="1" customHeight="1" x14ac:dyDescent="0.3">
      <c r="A298" s="1" t="str">
        <f t="shared" si="1092"/>
        <v>ADIFSE</v>
      </c>
      <c r="B298" s="1" t="str">
        <f t="shared" si="1093"/>
        <v>ADIFSE</v>
      </c>
      <c r="C298" s="1" t="str">
        <f t="shared" si="1094"/>
        <v>MAY</v>
      </c>
      <c r="D298" s="1" t="s">
        <v>108</v>
      </c>
      <c r="E298" s="159" t="str">
        <f t="shared" si="1099"/>
        <v>Transferencias - Total</v>
      </c>
      <c r="F298" s="163">
        <v>5</v>
      </c>
      <c r="G298" s="16" t="s">
        <v>189</v>
      </c>
      <c r="H298" s="7" t="s">
        <v>222</v>
      </c>
      <c r="I298" s="7" t="s">
        <v>173</v>
      </c>
      <c r="J298" s="7" t="s">
        <v>463</v>
      </c>
      <c r="K298" s="37"/>
      <c r="L298" s="37"/>
      <c r="M298" s="37"/>
      <c r="N298" s="37"/>
      <c r="O298" s="37"/>
      <c r="P298" s="37"/>
      <c r="Q298" s="37"/>
      <c r="DU298" s="1"/>
    </row>
    <row r="299" spans="1:125" ht="15" hidden="1" customHeight="1" x14ac:dyDescent="0.3">
      <c r="A299" s="1" t="str">
        <f t="shared" si="1092"/>
        <v>ADIFSE</v>
      </c>
      <c r="B299" s="1" t="str">
        <f t="shared" si="1093"/>
        <v>ADIFSE</v>
      </c>
      <c r="C299" s="1" t="str">
        <f t="shared" si="1094"/>
        <v>MAY</v>
      </c>
      <c r="D299" s="1" t="s">
        <v>108</v>
      </c>
      <c r="E299" s="160"/>
      <c r="F299" s="163"/>
      <c r="G299" s="16"/>
      <c r="H299" s="7"/>
      <c r="I299" s="7"/>
      <c r="J299" s="7"/>
      <c r="K299" s="37"/>
      <c r="L299" s="37"/>
      <c r="M299" s="37"/>
      <c r="N299" s="37"/>
      <c r="O299" s="37"/>
      <c r="P299" s="37"/>
      <c r="Q299" s="37"/>
      <c r="DU299" s="1"/>
    </row>
    <row r="300" spans="1:125" ht="15" hidden="1" customHeight="1" x14ac:dyDescent="0.3">
      <c r="A300" s="1" t="str">
        <f t="shared" si="1092"/>
        <v>ADIFSE</v>
      </c>
      <c r="B300" s="1" t="str">
        <f t="shared" si="1093"/>
        <v>ADIFSE</v>
      </c>
      <c r="C300" s="1" t="str">
        <f t="shared" si="1094"/>
        <v>MAY</v>
      </c>
      <c r="D300" s="1" t="s">
        <v>108</v>
      </c>
      <c r="E300" s="160" t="str">
        <f t="shared" ref="E300" si="1100">CONCATENATE(H300," - ",I300)</f>
        <v>Servicio de la Deuda - Intereses y comisiones</v>
      </c>
      <c r="F300" s="164" t="s">
        <v>223</v>
      </c>
      <c r="G300" s="16" t="s">
        <v>189</v>
      </c>
      <c r="H300" s="7" t="s">
        <v>224</v>
      </c>
      <c r="I300" s="7" t="s">
        <v>225</v>
      </c>
      <c r="J300" s="7" t="s">
        <v>463</v>
      </c>
      <c r="K300" s="66"/>
      <c r="L300" s="66"/>
      <c r="M300" s="66"/>
      <c r="N300" s="66"/>
      <c r="O300" s="66"/>
      <c r="P300" s="66"/>
      <c r="Q300" s="67"/>
      <c r="DU300" s="1"/>
    </row>
    <row r="301" spans="1:125" ht="15" hidden="1" customHeight="1" x14ac:dyDescent="0.3">
      <c r="A301" s="1" t="str">
        <f t="shared" si="1092"/>
        <v>ADIFSE</v>
      </c>
      <c r="B301" s="1" t="str">
        <f t="shared" si="1093"/>
        <v>ADIFSE</v>
      </c>
      <c r="C301" s="1" t="str">
        <f t="shared" si="1094"/>
        <v>MAY</v>
      </c>
      <c r="D301" s="1" t="s">
        <v>108</v>
      </c>
      <c r="E301" s="156" t="str">
        <f>H301</f>
        <v>Otros Gastos</v>
      </c>
      <c r="F301" s="164" t="s">
        <v>227</v>
      </c>
      <c r="G301" s="16" t="s">
        <v>189</v>
      </c>
      <c r="H301" s="7" t="s">
        <v>226</v>
      </c>
      <c r="I301" s="7" t="s">
        <v>226</v>
      </c>
      <c r="J301" s="7" t="s">
        <v>463</v>
      </c>
      <c r="K301" s="66"/>
      <c r="L301" s="66"/>
      <c r="M301" s="66"/>
      <c r="N301" s="66"/>
      <c r="O301" s="66"/>
      <c r="P301" s="66"/>
      <c r="Q301" s="67"/>
      <c r="DU301" s="1"/>
    </row>
    <row r="302" spans="1:125" ht="15" hidden="1" customHeight="1" x14ac:dyDescent="0.3">
      <c r="A302" s="1" t="str">
        <f t="shared" si="1092"/>
        <v>ADIFSE</v>
      </c>
      <c r="B302" s="1" t="str">
        <f t="shared" si="1093"/>
        <v>ADIFSE</v>
      </c>
      <c r="C302" s="1" t="str">
        <f t="shared" si="1094"/>
        <v>MAY</v>
      </c>
      <c r="D302" s="1" t="s">
        <v>108</v>
      </c>
      <c r="E302" s="160"/>
      <c r="F302" s="164"/>
      <c r="G302" s="16"/>
      <c r="H302" s="7"/>
      <c r="I302" s="7"/>
      <c r="J302" s="7"/>
      <c r="K302" s="66"/>
      <c r="L302" s="66"/>
      <c r="M302" s="66"/>
      <c r="N302" s="66"/>
      <c r="O302" s="66"/>
      <c r="P302" s="66"/>
      <c r="Q302" s="67"/>
      <c r="DU302" s="1"/>
    </row>
    <row r="303" spans="1:125" ht="15" hidden="1" customHeight="1" x14ac:dyDescent="0.3">
      <c r="A303" s="1" t="str">
        <f t="shared" si="1092"/>
        <v>ADIFSE</v>
      </c>
      <c r="B303" s="1" t="str">
        <f t="shared" si="1093"/>
        <v>ADIFSE</v>
      </c>
      <c r="C303" s="1" t="str">
        <f t="shared" si="1094"/>
        <v>MAY</v>
      </c>
      <c r="D303" s="1" t="s">
        <v>108</v>
      </c>
      <c r="E303" s="159" t="str">
        <f>CONCATENATE(G303," - ",I303)</f>
        <v>Gastos Corrientes - Total</v>
      </c>
      <c r="F303" s="162"/>
      <c r="G303" s="16" t="s">
        <v>189</v>
      </c>
      <c r="H303" s="7" t="s">
        <v>173</v>
      </c>
      <c r="I303" s="7" t="s">
        <v>173</v>
      </c>
      <c r="J303" s="7" t="s">
        <v>463</v>
      </c>
      <c r="K303" s="55"/>
      <c r="L303" s="55"/>
      <c r="M303" s="55"/>
      <c r="N303" s="55"/>
      <c r="O303" s="55"/>
      <c r="P303" s="55"/>
      <c r="Q303" s="56"/>
      <c r="DU303" s="41"/>
    </row>
    <row r="304" spans="1:125" ht="15" hidden="1" customHeight="1" x14ac:dyDescent="0.3">
      <c r="A304" s="1" t="str">
        <f t="shared" si="1092"/>
        <v>ADIFSE</v>
      </c>
      <c r="B304" s="1" t="str">
        <f t="shared" si="1093"/>
        <v>ADIFSE</v>
      </c>
      <c r="C304" s="1" t="str">
        <f t="shared" si="1094"/>
        <v>MAY</v>
      </c>
      <c r="D304" s="1" t="s">
        <v>108</v>
      </c>
      <c r="E304" s="159"/>
      <c r="F304" s="162"/>
      <c r="G304" s="16"/>
      <c r="H304" s="7"/>
      <c r="I304" s="7"/>
      <c r="J304" s="7"/>
      <c r="K304" s="88"/>
      <c r="L304" s="46"/>
      <c r="M304" s="46"/>
      <c r="N304" s="46"/>
      <c r="O304" s="46"/>
      <c r="P304" s="46"/>
      <c r="Q304" s="47"/>
      <c r="DU304" s="41"/>
    </row>
    <row r="305" spans="1:125" ht="15" hidden="1" customHeight="1" x14ac:dyDescent="0.3">
      <c r="A305" s="1" t="str">
        <f t="shared" si="1092"/>
        <v>ADIFSE</v>
      </c>
      <c r="B305" s="1" t="str">
        <f t="shared" si="1093"/>
        <v>ADIFSE</v>
      </c>
      <c r="C305" s="1" t="str">
        <f t="shared" si="1094"/>
        <v>MAY</v>
      </c>
      <c r="D305" s="1" t="s">
        <v>108</v>
      </c>
      <c r="E305" s="161" t="s">
        <v>228</v>
      </c>
      <c r="F305" s="162"/>
      <c r="G305" s="16"/>
      <c r="H305" s="7"/>
      <c r="I305" s="7"/>
      <c r="J305" s="7"/>
      <c r="K305" s="88"/>
      <c r="L305" s="46"/>
      <c r="M305" s="46"/>
      <c r="N305" s="46"/>
      <c r="O305" s="46"/>
      <c r="P305" s="46"/>
      <c r="Q305" s="47"/>
      <c r="DU305" s="41"/>
    </row>
    <row r="306" spans="1:125" ht="15" hidden="1" customHeight="1" x14ac:dyDescent="0.3">
      <c r="A306" s="1" t="str">
        <f t="shared" si="1092"/>
        <v>ADIFSE</v>
      </c>
      <c r="B306" s="1" t="str">
        <f t="shared" si="1093"/>
        <v>ADIFSE</v>
      </c>
      <c r="C306" s="1" t="str">
        <f t="shared" si="1094"/>
        <v>MAY</v>
      </c>
      <c r="D306" s="1" t="s">
        <v>108</v>
      </c>
      <c r="E306" s="160" t="str">
        <f>CONCATENATE(H306," - ",I306)</f>
        <v>Bienes de Uso - Obras</v>
      </c>
      <c r="F306" s="157" t="s">
        <v>229</v>
      </c>
      <c r="G306" s="16" t="s">
        <v>230</v>
      </c>
      <c r="H306" s="7" t="s">
        <v>228</v>
      </c>
      <c r="I306" s="7" t="s">
        <v>231</v>
      </c>
      <c r="J306" s="7" t="s">
        <v>463</v>
      </c>
      <c r="K306" s="38"/>
      <c r="L306" s="38"/>
      <c r="M306" s="38"/>
      <c r="N306" s="38"/>
      <c r="O306" s="38"/>
      <c r="P306" s="38"/>
      <c r="Q306" s="35"/>
      <c r="DU306" s="1"/>
    </row>
    <row r="307" spans="1:125" ht="15" hidden="1" customHeight="1" x14ac:dyDescent="0.3">
      <c r="A307" s="1" t="str">
        <f t="shared" si="1092"/>
        <v>ADIFSE</v>
      </c>
      <c r="B307" s="1" t="str">
        <f t="shared" si="1093"/>
        <v>ADIFSE</v>
      </c>
      <c r="C307" s="1" t="str">
        <f t="shared" si="1094"/>
        <v>MAY</v>
      </c>
      <c r="D307" s="1" t="s">
        <v>108</v>
      </c>
      <c r="E307" s="160" t="str">
        <f>CONCATENATE(H307," - ",I307)</f>
        <v>Bienes de Uso - Maquinarias</v>
      </c>
      <c r="F307" s="157">
        <v>43</v>
      </c>
      <c r="G307" s="16" t="s">
        <v>230</v>
      </c>
      <c r="H307" s="7" t="s">
        <v>228</v>
      </c>
      <c r="I307" s="7" t="s">
        <v>232</v>
      </c>
      <c r="J307" s="7" t="s">
        <v>463</v>
      </c>
      <c r="K307" s="38"/>
      <c r="L307" s="38"/>
      <c r="M307" s="38"/>
      <c r="N307" s="38"/>
      <c r="O307" s="38"/>
      <c r="P307" s="38"/>
      <c r="Q307" s="35"/>
      <c r="DU307" s="1"/>
    </row>
    <row r="308" spans="1:125" ht="15" hidden="1" customHeight="1" x14ac:dyDescent="0.3">
      <c r="A308" s="1" t="str">
        <f t="shared" si="1092"/>
        <v>ADIFSE</v>
      </c>
      <c r="B308" s="1" t="str">
        <f t="shared" si="1093"/>
        <v>ADIFSE</v>
      </c>
      <c r="C308" s="1" t="str">
        <f t="shared" si="1094"/>
        <v>MAY</v>
      </c>
      <c r="D308" s="1" t="s">
        <v>108</v>
      </c>
      <c r="E308" s="160" t="str">
        <f>CONCATENATE(H308," - ",I308)</f>
        <v>Bienes de Uso - Otros Bienes de Uso/Gs de Capital</v>
      </c>
      <c r="F308" s="157" t="s">
        <v>233</v>
      </c>
      <c r="G308" s="16" t="s">
        <v>230</v>
      </c>
      <c r="H308" s="7" t="s">
        <v>228</v>
      </c>
      <c r="I308" s="7" t="s">
        <v>234</v>
      </c>
      <c r="J308" s="7" t="s">
        <v>463</v>
      </c>
      <c r="K308" s="38"/>
      <c r="L308" s="38"/>
      <c r="M308" s="38"/>
      <c r="N308" s="38"/>
      <c r="O308" s="38"/>
      <c r="P308" s="38"/>
      <c r="Q308" s="35"/>
      <c r="DU308" s="1"/>
    </row>
    <row r="309" spans="1:125" ht="15" hidden="1" customHeight="1" x14ac:dyDescent="0.3">
      <c r="A309" s="1" t="str">
        <f t="shared" si="1092"/>
        <v>ADIFSE</v>
      </c>
      <c r="B309" s="1" t="str">
        <f t="shared" si="1093"/>
        <v>ADIFSE</v>
      </c>
      <c r="C309" s="1" t="str">
        <f t="shared" si="1094"/>
        <v>MAY</v>
      </c>
      <c r="D309" s="1" t="s">
        <v>108</v>
      </c>
      <c r="E309" s="159" t="str">
        <f>CONCATENATE(H309," - ",I309)</f>
        <v>Bienes de Uso - Total</v>
      </c>
      <c r="F309" s="162">
        <v>4</v>
      </c>
      <c r="G309" s="16" t="s">
        <v>230</v>
      </c>
      <c r="H309" s="7" t="s">
        <v>228</v>
      </c>
      <c r="I309" s="7" t="s">
        <v>173</v>
      </c>
      <c r="J309" s="7" t="s">
        <v>463</v>
      </c>
      <c r="K309" s="46"/>
      <c r="L309" s="46"/>
      <c r="M309" s="46"/>
      <c r="N309" s="46"/>
      <c r="O309" s="46"/>
      <c r="P309" s="46"/>
      <c r="Q309" s="56"/>
      <c r="DU309" s="41"/>
    </row>
    <row r="310" spans="1:125" ht="15" hidden="1" customHeight="1" x14ac:dyDescent="0.3">
      <c r="A310" s="1" t="str">
        <f t="shared" si="1092"/>
        <v>ADIFSE</v>
      </c>
      <c r="B310" s="1" t="str">
        <f t="shared" si="1093"/>
        <v>ADIFSE</v>
      </c>
      <c r="C310" s="1" t="str">
        <f t="shared" si="1094"/>
        <v>MAY</v>
      </c>
      <c r="D310" s="1" t="s">
        <v>108</v>
      </c>
      <c r="E310" s="159"/>
      <c r="F310" s="162"/>
      <c r="G310" s="16"/>
      <c r="H310" s="7"/>
      <c r="I310" s="7"/>
      <c r="J310" s="7"/>
      <c r="K310" s="88"/>
      <c r="L310" s="46"/>
      <c r="M310" s="46"/>
      <c r="N310" s="46"/>
      <c r="O310" s="46"/>
      <c r="P310" s="46"/>
      <c r="Q310" s="56"/>
      <c r="DU310" s="41"/>
    </row>
    <row r="311" spans="1:125" ht="15" hidden="1" customHeight="1" x14ac:dyDescent="0.3">
      <c r="A311" s="1" t="str">
        <f t="shared" si="1092"/>
        <v>ADIFSE</v>
      </c>
      <c r="B311" s="1" t="str">
        <f t="shared" si="1093"/>
        <v>ADIFSE</v>
      </c>
      <c r="C311" s="1" t="str">
        <f t="shared" si="1094"/>
        <v>MAY</v>
      </c>
      <c r="D311" s="1" t="s">
        <v>108</v>
      </c>
      <c r="E311" s="161" t="s">
        <v>222</v>
      </c>
      <c r="F311" s="162"/>
      <c r="G311" s="75"/>
      <c r="H311" s="76"/>
      <c r="I311" s="76"/>
      <c r="J311" s="76"/>
      <c r="K311" s="88"/>
      <c r="L311" s="46"/>
      <c r="M311" s="46"/>
      <c r="N311" s="46"/>
      <c r="O311" s="46"/>
      <c r="P311" s="46"/>
      <c r="Q311" s="56"/>
      <c r="DU311" s="41"/>
    </row>
    <row r="312" spans="1:125" ht="15" hidden="1" customHeight="1" x14ac:dyDescent="0.3">
      <c r="A312" s="1" t="str">
        <f t="shared" si="1092"/>
        <v>ADIFSE</v>
      </c>
      <c r="B312" s="1" t="str">
        <f t="shared" si="1093"/>
        <v>ADIFSE</v>
      </c>
      <c r="C312" s="1" t="str">
        <f t="shared" si="1094"/>
        <v>MAY</v>
      </c>
      <c r="D312" s="1" t="s">
        <v>108</v>
      </c>
      <c r="E312" s="160" t="str">
        <f t="shared" ref="E312:E313" si="1101">CONCATENATE(H312," - ",I312)</f>
        <v>Transferencias - Aerolíneas Argentinas</v>
      </c>
      <c r="F312" s="157" t="s">
        <v>236</v>
      </c>
      <c r="G312" s="16" t="s">
        <v>230</v>
      </c>
      <c r="H312" s="7" t="s">
        <v>222</v>
      </c>
      <c r="I312" s="7" t="s">
        <v>206</v>
      </c>
      <c r="J312" s="7" t="s">
        <v>463</v>
      </c>
      <c r="K312" s="38"/>
      <c r="L312" s="38"/>
      <c r="M312" s="38"/>
      <c r="N312" s="38"/>
      <c r="O312" s="38"/>
      <c r="P312" s="38"/>
      <c r="Q312" s="35"/>
      <c r="DU312" s="1"/>
    </row>
    <row r="313" spans="1:125" ht="15" hidden="1" customHeight="1" x14ac:dyDescent="0.3">
      <c r="A313" s="1" t="str">
        <f t="shared" si="1092"/>
        <v>ADIFSE</v>
      </c>
      <c r="B313" s="1" t="str">
        <f t="shared" si="1093"/>
        <v>ADIFSE</v>
      </c>
      <c r="C313" s="1" t="str">
        <f t="shared" si="1094"/>
        <v>MAY</v>
      </c>
      <c r="D313" s="1" t="s">
        <v>108</v>
      </c>
      <c r="E313" s="160" t="str">
        <f t="shared" si="1101"/>
        <v>Transferencias - Resto</v>
      </c>
      <c r="F313" s="157" t="s">
        <v>237</v>
      </c>
      <c r="G313" s="16" t="s">
        <v>230</v>
      </c>
      <c r="H313" s="7" t="s">
        <v>222</v>
      </c>
      <c r="I313" s="7" t="s">
        <v>208</v>
      </c>
      <c r="J313" s="7" t="s">
        <v>463</v>
      </c>
      <c r="K313" s="38"/>
      <c r="L313" s="38"/>
      <c r="M313" s="38"/>
      <c r="N313" s="38"/>
      <c r="O313" s="38"/>
      <c r="P313" s="38"/>
      <c r="Q313" s="35"/>
      <c r="DU313" s="1"/>
    </row>
    <row r="314" spans="1:125" ht="15" hidden="1" customHeight="1" x14ac:dyDescent="0.3">
      <c r="A314" s="1" t="str">
        <f t="shared" si="1092"/>
        <v>ADIFSE</v>
      </c>
      <c r="B314" s="1" t="str">
        <f t="shared" si="1093"/>
        <v>ADIFSE</v>
      </c>
      <c r="C314" s="1" t="str">
        <f t="shared" si="1094"/>
        <v>MAY</v>
      </c>
      <c r="D314" s="1" t="s">
        <v>108</v>
      </c>
      <c r="E314" s="165" t="str">
        <f>CONCATENATE(H314," - ",I314)</f>
        <v>Transferencias - Sector Privado</v>
      </c>
      <c r="F314" s="166">
        <v>52</v>
      </c>
      <c r="G314" s="77" t="s">
        <v>230</v>
      </c>
      <c r="H314" s="81" t="s">
        <v>222</v>
      </c>
      <c r="I314" s="81" t="s">
        <v>238</v>
      </c>
      <c r="J314" s="81" t="s">
        <v>463</v>
      </c>
      <c r="K314" s="38"/>
      <c r="L314" s="38"/>
      <c r="M314" s="38"/>
      <c r="N314" s="38"/>
      <c r="O314" s="38"/>
      <c r="P314" s="38"/>
      <c r="Q314" s="67"/>
      <c r="DU314" s="78"/>
    </row>
    <row r="315" spans="1:125" ht="15" hidden="1" customHeight="1" x14ac:dyDescent="0.3">
      <c r="A315" s="1" t="str">
        <f t="shared" si="1092"/>
        <v>ADIFSE</v>
      </c>
      <c r="B315" s="1" t="str">
        <f t="shared" si="1093"/>
        <v>ADIFSE</v>
      </c>
      <c r="C315" s="1" t="str">
        <f t="shared" si="1094"/>
        <v>MAY</v>
      </c>
      <c r="D315" s="1" t="s">
        <v>108</v>
      </c>
      <c r="E315" s="160" t="str">
        <f t="shared" ref="E315:E316" si="1102">CONCATENATE(H315," - ",I315)</f>
        <v>Transferencias - DNV</v>
      </c>
      <c r="F315" s="157" t="s">
        <v>239</v>
      </c>
      <c r="G315" s="16" t="s">
        <v>230</v>
      </c>
      <c r="H315" s="7" t="s">
        <v>222</v>
      </c>
      <c r="I315" s="7" t="s">
        <v>240</v>
      </c>
      <c r="J315" s="7" t="s">
        <v>463</v>
      </c>
      <c r="K315" s="38"/>
      <c r="L315" s="38"/>
      <c r="M315" s="38"/>
      <c r="N315" s="38"/>
      <c r="O315" s="38"/>
      <c r="P315" s="38"/>
      <c r="Q315" s="35"/>
      <c r="DU315" s="1"/>
    </row>
    <row r="316" spans="1:125" ht="15" hidden="1" customHeight="1" x14ac:dyDescent="0.3">
      <c r="A316" s="1" t="str">
        <f t="shared" si="1092"/>
        <v>ADIFSE</v>
      </c>
      <c r="B316" s="1" t="str">
        <f t="shared" si="1093"/>
        <v>ADIFSE</v>
      </c>
      <c r="C316" s="1" t="str">
        <f t="shared" si="1094"/>
        <v>MAY</v>
      </c>
      <c r="D316" s="1" t="s">
        <v>108</v>
      </c>
      <c r="E316" s="160" t="str">
        <f t="shared" si="1102"/>
        <v>Transferencias - Resto</v>
      </c>
      <c r="F316" s="157" t="s">
        <v>241</v>
      </c>
      <c r="G316" s="16" t="s">
        <v>230</v>
      </c>
      <c r="H316" s="7" t="s">
        <v>222</v>
      </c>
      <c r="I316" s="7" t="s">
        <v>208</v>
      </c>
      <c r="J316" s="7" t="s">
        <v>463</v>
      </c>
      <c r="K316" s="38"/>
      <c r="L316" s="38"/>
      <c r="M316" s="38"/>
      <c r="N316" s="38"/>
      <c r="O316" s="38"/>
      <c r="P316" s="38"/>
      <c r="Q316" s="35"/>
      <c r="DU316" s="1"/>
    </row>
    <row r="317" spans="1:125" ht="15" hidden="1" customHeight="1" x14ac:dyDescent="0.3">
      <c r="A317" s="1" t="str">
        <f t="shared" si="1092"/>
        <v>ADIFSE</v>
      </c>
      <c r="B317" s="1" t="str">
        <f t="shared" si="1093"/>
        <v>ADIFSE</v>
      </c>
      <c r="C317" s="1" t="str">
        <f t="shared" si="1094"/>
        <v>MAY</v>
      </c>
      <c r="D317" s="1" t="s">
        <v>108</v>
      </c>
      <c r="E317" s="167" t="str">
        <f>CONCATENATE(H317," - ",I317)</f>
        <v>Transferencias - Administración Nacional</v>
      </c>
      <c r="F317" s="168" t="s">
        <v>242</v>
      </c>
      <c r="G317" s="77" t="s">
        <v>230</v>
      </c>
      <c r="H317" s="81" t="s">
        <v>222</v>
      </c>
      <c r="I317" s="81" t="s">
        <v>243</v>
      </c>
      <c r="J317" s="81" t="s">
        <v>463</v>
      </c>
      <c r="K317" s="38"/>
      <c r="L317" s="38"/>
      <c r="M317" s="38"/>
      <c r="N317" s="38"/>
      <c r="O317" s="38"/>
      <c r="P317" s="38"/>
      <c r="Q317" s="67"/>
      <c r="DU317" s="78"/>
    </row>
    <row r="318" spans="1:125" ht="15" hidden="1" customHeight="1" x14ac:dyDescent="0.3">
      <c r="A318" s="1" t="str">
        <f t="shared" si="1092"/>
        <v>ADIFSE</v>
      </c>
      <c r="B318" s="1" t="str">
        <f t="shared" si="1093"/>
        <v>ADIFSE</v>
      </c>
      <c r="C318" s="1" t="str">
        <f t="shared" si="1094"/>
        <v>MAY</v>
      </c>
      <c r="D318" s="1" t="s">
        <v>108</v>
      </c>
      <c r="E318" s="160" t="str">
        <f t="shared" ref="E318:E321" si="1103">CONCATENATE(H318," - ",I318)</f>
        <v>Transferencias - ADIF</v>
      </c>
      <c r="F318" s="157" t="s">
        <v>212</v>
      </c>
      <c r="G318" s="16" t="s">
        <v>230</v>
      </c>
      <c r="H318" s="7" t="s">
        <v>222</v>
      </c>
      <c r="I318" s="7" t="s">
        <v>213</v>
      </c>
      <c r="J318" s="7" t="s">
        <v>463</v>
      </c>
      <c r="K318" s="38"/>
      <c r="L318" s="38"/>
      <c r="M318" s="38"/>
      <c r="N318" s="38"/>
      <c r="O318" s="38"/>
      <c r="P318" s="38"/>
      <c r="Q318" s="35"/>
      <c r="DU318" s="1"/>
    </row>
    <row r="319" spans="1:125" ht="15" hidden="1" customHeight="1" x14ac:dyDescent="0.3">
      <c r="A319" s="1" t="str">
        <f t="shared" si="1092"/>
        <v>ADIFSE</v>
      </c>
      <c r="B319" s="1" t="str">
        <f t="shared" si="1093"/>
        <v>ADIFSE</v>
      </c>
      <c r="C319" s="1" t="str">
        <f t="shared" si="1094"/>
        <v>MAY</v>
      </c>
      <c r="D319" s="1" t="s">
        <v>108</v>
      </c>
      <c r="E319" s="160" t="str">
        <f t="shared" si="1103"/>
        <v>Transferencias - SOFSE</v>
      </c>
      <c r="F319" s="157" t="s">
        <v>214</v>
      </c>
      <c r="G319" s="16" t="s">
        <v>230</v>
      </c>
      <c r="H319" s="7" t="s">
        <v>222</v>
      </c>
      <c r="I319" s="7" t="s">
        <v>215</v>
      </c>
      <c r="J319" s="7" t="s">
        <v>463</v>
      </c>
      <c r="K319" s="38"/>
      <c r="L319" s="38"/>
      <c r="M319" s="38"/>
      <c r="N319" s="38"/>
      <c r="O319" s="38"/>
      <c r="P319" s="38"/>
      <c r="Q319" s="35"/>
      <c r="DU319" s="1"/>
    </row>
    <row r="320" spans="1:125" ht="15" hidden="1" customHeight="1" x14ac:dyDescent="0.3">
      <c r="A320" s="1" t="str">
        <f t="shared" si="1092"/>
        <v>ADIFSE</v>
      </c>
      <c r="B320" s="1" t="str">
        <f t="shared" si="1093"/>
        <v>ADIFSE</v>
      </c>
      <c r="C320" s="1" t="str">
        <f t="shared" si="1094"/>
        <v>MAY</v>
      </c>
      <c r="D320" s="1" t="s">
        <v>108</v>
      </c>
      <c r="E320" s="160" t="str">
        <f t="shared" si="1103"/>
        <v>Transferencias - Fideicomiso ANAC</v>
      </c>
      <c r="F320" s="157" t="s">
        <v>244</v>
      </c>
      <c r="G320" s="16" t="s">
        <v>230</v>
      </c>
      <c r="H320" s="7" t="s">
        <v>222</v>
      </c>
      <c r="I320" s="7" t="s">
        <v>245</v>
      </c>
      <c r="J320" s="7" t="s">
        <v>463</v>
      </c>
      <c r="K320" s="38"/>
      <c r="L320" s="38"/>
      <c r="M320" s="38"/>
      <c r="N320" s="38"/>
      <c r="O320" s="38"/>
      <c r="P320" s="38"/>
      <c r="Q320" s="35"/>
      <c r="DU320" s="1"/>
    </row>
    <row r="321" spans="1:125" ht="15" hidden="1" customHeight="1" x14ac:dyDescent="0.3">
      <c r="A321" s="1" t="str">
        <f t="shared" si="1092"/>
        <v>ADIFSE</v>
      </c>
      <c r="B321" s="1" t="str">
        <f t="shared" si="1093"/>
        <v>ADIFSE</v>
      </c>
      <c r="C321" s="1" t="str">
        <f t="shared" si="1094"/>
        <v>MAY</v>
      </c>
      <c r="D321" s="1" t="s">
        <v>108</v>
      </c>
      <c r="E321" s="160" t="str">
        <f t="shared" si="1103"/>
        <v>Transferencias - Resto</v>
      </c>
      <c r="F321" s="157" t="s">
        <v>218</v>
      </c>
      <c r="G321" s="16" t="s">
        <v>230</v>
      </c>
      <c r="H321" s="7" t="s">
        <v>222</v>
      </c>
      <c r="I321" s="7" t="s">
        <v>208</v>
      </c>
      <c r="J321" s="7" t="s">
        <v>463</v>
      </c>
      <c r="K321" s="38"/>
      <c r="L321" s="38"/>
      <c r="M321" s="38"/>
      <c r="N321" s="38"/>
      <c r="O321" s="38"/>
      <c r="P321" s="38"/>
      <c r="Q321" s="35"/>
      <c r="DU321" s="1"/>
    </row>
    <row r="322" spans="1:125" ht="15" hidden="1" customHeight="1" x14ac:dyDescent="0.3">
      <c r="A322" s="1" t="str">
        <f t="shared" si="1092"/>
        <v>ADIFSE</v>
      </c>
      <c r="B322" s="1" t="str">
        <f t="shared" si="1093"/>
        <v>ADIFSE</v>
      </c>
      <c r="C322" s="1" t="str">
        <f t="shared" si="1094"/>
        <v>MAY</v>
      </c>
      <c r="D322" s="1" t="s">
        <v>108</v>
      </c>
      <c r="E322" s="162" t="str">
        <f>CONCATENATE(H322," - ",I322)</f>
        <v>Transferencias - Empresas Públicas y Otros Entes</v>
      </c>
      <c r="F322" s="157" t="s">
        <v>246</v>
      </c>
      <c r="G322" s="16" t="s">
        <v>230</v>
      </c>
      <c r="H322" s="7" t="s">
        <v>222</v>
      </c>
      <c r="I322" s="7" t="s">
        <v>220</v>
      </c>
      <c r="J322" s="7" t="s">
        <v>463</v>
      </c>
      <c r="K322" s="38"/>
      <c r="L322" s="38"/>
      <c r="M322" s="38"/>
      <c r="N322" s="38"/>
      <c r="O322" s="38"/>
      <c r="P322" s="38"/>
      <c r="Q322" s="35"/>
      <c r="DU322" s="16"/>
    </row>
    <row r="323" spans="1:125" ht="15" hidden="1" customHeight="1" x14ac:dyDescent="0.3">
      <c r="A323" s="1" t="str">
        <f t="shared" si="1092"/>
        <v>ADIFSE</v>
      </c>
      <c r="B323" s="1" t="str">
        <f t="shared" si="1093"/>
        <v>ADIFSE</v>
      </c>
      <c r="C323" s="1" t="str">
        <f t="shared" si="1094"/>
        <v>MAY</v>
      </c>
      <c r="D323" s="1" t="s">
        <v>108</v>
      </c>
      <c r="E323" s="160" t="str">
        <f t="shared" ref="E323:E325" si="1104">CONCATENATE(H323," - ",I323)</f>
        <v>Transferencias - Provincias y Municipios</v>
      </c>
      <c r="F323" s="163">
        <v>58</v>
      </c>
      <c r="G323" s="16" t="s">
        <v>230</v>
      </c>
      <c r="H323" s="7" t="s">
        <v>222</v>
      </c>
      <c r="I323" s="7" t="s">
        <v>247</v>
      </c>
      <c r="J323" s="7" t="s">
        <v>463</v>
      </c>
      <c r="K323" s="38"/>
      <c r="L323" s="38"/>
      <c r="M323" s="38"/>
      <c r="N323" s="38"/>
      <c r="O323" s="38"/>
      <c r="P323" s="38"/>
      <c r="Q323" s="67"/>
      <c r="DU323" s="41"/>
    </row>
    <row r="324" spans="1:125" ht="15" hidden="1" customHeight="1" x14ac:dyDescent="0.3">
      <c r="A324" s="1" t="str">
        <f t="shared" ref="A324:A368" si="1105">$F$8</f>
        <v>ADIFSE</v>
      </c>
      <c r="B324" s="1" t="str">
        <f t="shared" ref="B324:B368" si="1106">$F$9</f>
        <v>ADIFSE</v>
      </c>
      <c r="C324" s="1" t="str">
        <f t="shared" ref="C324:C368" si="1107">$F$7</f>
        <v>MAY</v>
      </c>
      <c r="D324" s="1" t="s">
        <v>108</v>
      </c>
      <c r="E324" s="160" t="str">
        <f t="shared" si="1104"/>
        <v>Transferencias - Otras Transferencias</v>
      </c>
      <c r="F324" s="164" t="s">
        <v>248</v>
      </c>
      <c r="G324" s="16" t="s">
        <v>230</v>
      </c>
      <c r="H324" s="7" t="s">
        <v>222</v>
      </c>
      <c r="I324" s="7" t="s">
        <v>249</v>
      </c>
      <c r="J324" s="7" t="s">
        <v>463</v>
      </c>
      <c r="K324" s="38"/>
      <c r="L324" s="38"/>
      <c r="M324" s="38"/>
      <c r="N324" s="38"/>
      <c r="O324" s="38"/>
      <c r="P324" s="38"/>
      <c r="Q324" s="67"/>
      <c r="DU324" s="41"/>
    </row>
    <row r="325" spans="1:125" ht="15" hidden="1" customHeight="1" x14ac:dyDescent="0.3">
      <c r="A325" s="1" t="str">
        <f t="shared" si="1105"/>
        <v>ADIFSE</v>
      </c>
      <c r="B325" s="1" t="str">
        <f t="shared" si="1106"/>
        <v>ADIFSE</v>
      </c>
      <c r="C325" s="1" t="str">
        <f t="shared" si="1107"/>
        <v>MAY</v>
      </c>
      <c r="D325" s="1" t="s">
        <v>108</v>
      </c>
      <c r="E325" s="159" t="str">
        <f t="shared" si="1104"/>
        <v>Transferencias - Total</v>
      </c>
      <c r="F325" s="162">
        <v>5</v>
      </c>
      <c r="G325" s="16" t="s">
        <v>230</v>
      </c>
      <c r="H325" s="7" t="s">
        <v>222</v>
      </c>
      <c r="I325" s="7" t="s">
        <v>173</v>
      </c>
      <c r="J325" s="7" t="s">
        <v>463</v>
      </c>
      <c r="K325" s="46"/>
      <c r="L325" s="46"/>
      <c r="M325" s="46"/>
      <c r="N325" s="46"/>
      <c r="O325" s="46"/>
      <c r="P325" s="46"/>
      <c r="Q325" s="56"/>
      <c r="DU325" s="75"/>
    </row>
    <row r="326" spans="1:125" ht="15" hidden="1" customHeight="1" x14ac:dyDescent="0.3">
      <c r="A326" s="1" t="str">
        <f t="shared" si="1105"/>
        <v>ADIFSE</v>
      </c>
      <c r="B326" s="1" t="str">
        <f t="shared" si="1106"/>
        <v>ADIFSE</v>
      </c>
      <c r="C326" s="1" t="str">
        <f t="shared" si="1107"/>
        <v>MAY</v>
      </c>
      <c r="D326" s="1" t="s">
        <v>108</v>
      </c>
      <c r="E326" s="159"/>
      <c r="F326" s="162"/>
      <c r="G326" s="16"/>
      <c r="H326" s="7"/>
      <c r="I326" s="7"/>
      <c r="J326" s="7"/>
      <c r="K326" s="88"/>
      <c r="L326" s="46"/>
      <c r="M326" s="46"/>
      <c r="N326" s="46"/>
      <c r="O326" s="46"/>
      <c r="P326" s="46"/>
      <c r="Q326" s="56"/>
      <c r="DU326" s="41"/>
    </row>
    <row r="327" spans="1:125" ht="15" hidden="1" customHeight="1" x14ac:dyDescent="0.3">
      <c r="A327" s="1" t="str">
        <f t="shared" si="1105"/>
        <v>ADIFSE</v>
      </c>
      <c r="B327" s="1" t="str">
        <f t="shared" si="1106"/>
        <v>ADIFSE</v>
      </c>
      <c r="C327" s="1" t="str">
        <f t="shared" si="1107"/>
        <v>MAY</v>
      </c>
      <c r="D327" s="1" t="s">
        <v>108</v>
      </c>
      <c r="E327" s="161" t="s">
        <v>250</v>
      </c>
      <c r="F327" s="162"/>
      <c r="G327" s="16"/>
      <c r="H327" s="7"/>
      <c r="I327" s="7"/>
      <c r="J327" s="7"/>
      <c r="K327" s="88"/>
      <c r="L327" s="46"/>
      <c r="M327" s="46"/>
      <c r="N327" s="46"/>
      <c r="O327" s="46"/>
      <c r="P327" s="46"/>
      <c r="Q327" s="56"/>
      <c r="DU327" s="41"/>
    </row>
    <row r="328" spans="1:125" ht="15" hidden="1" customHeight="1" x14ac:dyDescent="0.3">
      <c r="A328" s="1" t="str">
        <f t="shared" si="1105"/>
        <v>ADIFSE</v>
      </c>
      <c r="B328" s="1" t="str">
        <f t="shared" si="1106"/>
        <v>ADIFSE</v>
      </c>
      <c r="C328" s="1" t="str">
        <f t="shared" si="1107"/>
        <v>MAY</v>
      </c>
      <c r="D328" s="1" t="s">
        <v>108</v>
      </c>
      <c r="E328" s="160" t="str">
        <f t="shared" ref="E328:E330" si="1108">CONCATENATE(H328," - ",I328)</f>
        <v>Aportes de Capital a Empresa Públicas - EANA</v>
      </c>
      <c r="F328" s="164" t="s">
        <v>251</v>
      </c>
      <c r="G328" s="16" t="s">
        <v>230</v>
      </c>
      <c r="H328" s="7" t="s">
        <v>252</v>
      </c>
      <c r="I328" s="7" t="s">
        <v>253</v>
      </c>
      <c r="J328" s="7" t="s">
        <v>463</v>
      </c>
      <c r="K328" s="38"/>
      <c r="L328" s="38"/>
      <c r="M328" s="38"/>
      <c r="N328" s="38"/>
      <c r="O328" s="38"/>
      <c r="P328" s="38"/>
      <c r="Q328" s="67"/>
      <c r="DU328" s="38"/>
    </row>
    <row r="329" spans="1:125" ht="15" hidden="1" customHeight="1" x14ac:dyDescent="0.3">
      <c r="A329" s="1" t="str">
        <f t="shared" si="1105"/>
        <v>ADIFSE</v>
      </c>
      <c r="B329" s="1" t="str">
        <f t="shared" si="1106"/>
        <v>ADIFSE</v>
      </c>
      <c r="C329" s="1" t="str">
        <f t="shared" si="1107"/>
        <v>MAY</v>
      </c>
      <c r="D329" s="1" t="s">
        <v>108</v>
      </c>
      <c r="E329" s="160" t="str">
        <f t="shared" si="1108"/>
        <v>Aportes de Capital a Empresa Públicas - otros</v>
      </c>
      <c r="F329" s="164" t="s">
        <v>254</v>
      </c>
      <c r="G329" s="16" t="s">
        <v>230</v>
      </c>
      <c r="H329" s="7" t="s">
        <v>252</v>
      </c>
      <c r="I329" s="7" t="s">
        <v>255</v>
      </c>
      <c r="J329" s="7" t="s">
        <v>463</v>
      </c>
      <c r="K329" s="38"/>
      <c r="L329" s="38"/>
      <c r="M329" s="38"/>
      <c r="N329" s="38"/>
      <c r="O329" s="38"/>
      <c r="P329" s="38"/>
      <c r="Q329" s="67"/>
      <c r="DU329" s="38"/>
    </row>
    <row r="330" spans="1:125" ht="15" hidden="1" customHeight="1" x14ac:dyDescent="0.3">
      <c r="A330" s="1" t="str">
        <f t="shared" si="1105"/>
        <v>ADIFSE</v>
      </c>
      <c r="B330" s="1" t="str">
        <f t="shared" si="1106"/>
        <v>ADIFSE</v>
      </c>
      <c r="C330" s="1" t="str">
        <f t="shared" si="1107"/>
        <v>MAY</v>
      </c>
      <c r="D330" s="1" t="s">
        <v>108</v>
      </c>
      <c r="E330" s="160" t="str">
        <f t="shared" si="1108"/>
        <v>Egresos de Capital - otros</v>
      </c>
      <c r="F330" s="164" t="s">
        <v>256</v>
      </c>
      <c r="G330" s="16" t="s">
        <v>230</v>
      </c>
      <c r="H330" s="7" t="s">
        <v>230</v>
      </c>
      <c r="I330" s="7" t="s">
        <v>255</v>
      </c>
      <c r="J330" s="7" t="s">
        <v>463</v>
      </c>
      <c r="K330" s="38"/>
      <c r="L330" s="38"/>
      <c r="M330" s="38"/>
      <c r="N330" s="38"/>
      <c r="O330" s="38"/>
      <c r="P330" s="38"/>
      <c r="Q330" s="67"/>
      <c r="DU330" s="38"/>
    </row>
    <row r="331" spans="1:125" ht="15" hidden="1" customHeight="1" x14ac:dyDescent="0.3">
      <c r="A331" s="1" t="str">
        <f t="shared" si="1105"/>
        <v>ADIFSE</v>
      </c>
      <c r="B331" s="1" t="str">
        <f t="shared" si="1106"/>
        <v>ADIFSE</v>
      </c>
      <c r="C331" s="1" t="str">
        <f t="shared" si="1107"/>
        <v>MAY</v>
      </c>
      <c r="D331" s="1" t="s">
        <v>108</v>
      </c>
      <c r="E331" s="159" t="s">
        <v>257</v>
      </c>
      <c r="F331" s="159"/>
      <c r="G331" s="16" t="s">
        <v>230</v>
      </c>
      <c r="H331" s="7" t="s">
        <v>202</v>
      </c>
      <c r="I331" s="7">
        <v>1</v>
      </c>
      <c r="J331" s="7" t="s">
        <v>463</v>
      </c>
      <c r="K331" s="38"/>
      <c r="L331" s="38"/>
      <c r="M331" s="38"/>
      <c r="N331" s="38"/>
      <c r="O331" s="38"/>
      <c r="P331" s="38"/>
      <c r="Q331" s="67"/>
      <c r="DU331" s="75"/>
    </row>
    <row r="332" spans="1:125" ht="15" hidden="1" customHeight="1" x14ac:dyDescent="0.3">
      <c r="A332" s="1" t="str">
        <f t="shared" si="1105"/>
        <v>ADIFSE</v>
      </c>
      <c r="B332" s="1" t="str">
        <f t="shared" si="1106"/>
        <v>ADIFSE</v>
      </c>
      <c r="C332" s="1" t="str">
        <f t="shared" si="1107"/>
        <v>MAY</v>
      </c>
      <c r="D332" s="1" t="s">
        <v>108</v>
      </c>
      <c r="E332" s="160"/>
      <c r="F332" s="163"/>
      <c r="G332" s="16"/>
      <c r="H332" s="7"/>
      <c r="I332" s="7"/>
      <c r="J332" s="7"/>
      <c r="K332" s="38"/>
      <c r="L332" s="38"/>
      <c r="M332" s="38"/>
      <c r="N332" s="38"/>
      <c r="O332" s="38"/>
      <c r="P332" s="38"/>
      <c r="Q332" s="67"/>
      <c r="DU332" s="75"/>
    </row>
    <row r="333" spans="1:125" ht="15" hidden="1" customHeight="1" x14ac:dyDescent="0.3">
      <c r="A333" s="1" t="str">
        <f t="shared" si="1105"/>
        <v>ADIFSE</v>
      </c>
      <c r="B333" s="1" t="str">
        <f t="shared" si="1106"/>
        <v>ADIFSE</v>
      </c>
      <c r="C333" s="1" t="str">
        <f t="shared" si="1107"/>
        <v>MAY</v>
      </c>
      <c r="D333" s="1" t="s">
        <v>108</v>
      </c>
      <c r="E333" s="159" t="s">
        <v>258</v>
      </c>
      <c r="F333" s="169"/>
      <c r="G333" s="16" t="s">
        <v>230</v>
      </c>
      <c r="H333" s="7" t="s">
        <v>173</v>
      </c>
      <c r="I333" s="7" t="s">
        <v>173</v>
      </c>
      <c r="J333" s="7" t="s">
        <v>463</v>
      </c>
      <c r="K333" s="46"/>
      <c r="L333" s="46"/>
      <c r="M333" s="46"/>
      <c r="N333" s="46"/>
      <c r="O333" s="46"/>
      <c r="P333" s="46"/>
      <c r="Q333" s="46"/>
      <c r="DU333" s="41"/>
    </row>
    <row r="334" spans="1:125" ht="15" hidden="1" customHeight="1" x14ac:dyDescent="0.3">
      <c r="A334" s="1" t="str">
        <f t="shared" si="1105"/>
        <v>ADIFSE</v>
      </c>
      <c r="B334" s="1" t="str">
        <f t="shared" si="1106"/>
        <v>ADIFSE</v>
      </c>
      <c r="C334" s="1" t="str">
        <f t="shared" si="1107"/>
        <v>MAY</v>
      </c>
      <c r="D334" s="1" t="s">
        <v>108</v>
      </c>
      <c r="E334" s="159"/>
      <c r="F334" s="169"/>
      <c r="G334" s="16"/>
      <c r="H334" s="7"/>
      <c r="I334" s="7"/>
      <c r="J334" s="7"/>
      <c r="K334" s="88"/>
      <c r="L334" s="46"/>
      <c r="M334" s="46"/>
      <c r="N334" s="46"/>
      <c r="O334" s="46"/>
      <c r="P334" s="46"/>
      <c r="Q334" s="46"/>
      <c r="DU334" s="41"/>
    </row>
    <row r="335" spans="1:125" ht="15" hidden="1" customHeight="1" x14ac:dyDescent="0.3">
      <c r="A335" s="1" t="str">
        <f t="shared" si="1105"/>
        <v>ADIFSE</v>
      </c>
      <c r="B335" s="1" t="str">
        <f t="shared" si="1106"/>
        <v>ADIFSE</v>
      </c>
      <c r="C335" s="1" t="str">
        <f t="shared" si="1107"/>
        <v>MAY</v>
      </c>
      <c r="D335" s="1" t="s">
        <v>108</v>
      </c>
      <c r="E335" s="161" t="s">
        <v>259</v>
      </c>
      <c r="F335" s="169"/>
      <c r="G335" s="16"/>
      <c r="H335" s="7"/>
      <c r="I335" s="7"/>
      <c r="J335" s="7"/>
      <c r="K335" s="88"/>
      <c r="L335" s="46"/>
      <c r="M335" s="46"/>
      <c r="N335" s="46"/>
      <c r="O335" s="46"/>
      <c r="P335" s="46"/>
      <c r="Q335" s="46"/>
      <c r="DU335" s="41"/>
    </row>
    <row r="336" spans="1:125" ht="15" hidden="1" customHeight="1" x14ac:dyDescent="0.3">
      <c r="A336" s="1" t="str">
        <f t="shared" si="1105"/>
        <v>ADIFSE</v>
      </c>
      <c r="B336" s="1" t="str">
        <f t="shared" si="1106"/>
        <v>ADIFSE</v>
      </c>
      <c r="C336" s="1" t="str">
        <f t="shared" si="1107"/>
        <v>MAY</v>
      </c>
      <c r="D336" s="1" t="s">
        <v>108</v>
      </c>
      <c r="E336" s="160" t="str">
        <f>CONCATENATE(H336," - ",I336)</f>
        <v>Incremento de Activos Financieros - Caja y Bancos</v>
      </c>
      <c r="F336" s="163">
        <v>65</v>
      </c>
      <c r="G336" s="16" t="s">
        <v>259</v>
      </c>
      <c r="H336" s="7" t="s">
        <v>260</v>
      </c>
      <c r="I336" s="7" t="s">
        <v>450</v>
      </c>
      <c r="J336" s="7" t="s">
        <v>463</v>
      </c>
      <c r="K336" s="88"/>
      <c r="L336" s="38"/>
      <c r="M336" s="38"/>
      <c r="N336" s="38"/>
      <c r="O336" s="38"/>
      <c r="P336" s="38"/>
      <c r="Q336" s="67"/>
      <c r="DU336" s="75"/>
    </row>
    <row r="337" spans="1:126" ht="15" hidden="1" customHeight="1" x14ac:dyDescent="0.3">
      <c r="A337" s="1" t="str">
        <f t="shared" si="1105"/>
        <v>ADIFSE</v>
      </c>
      <c r="B337" s="1" t="str">
        <f t="shared" si="1106"/>
        <v>ADIFSE</v>
      </c>
      <c r="C337" s="1" t="str">
        <f t="shared" si="1107"/>
        <v>MAY</v>
      </c>
      <c r="D337" s="1" t="s">
        <v>108</v>
      </c>
      <c r="E337" s="160" t="str">
        <f>CONCATENATE(H337," - ",I337)</f>
        <v>Incremento de Activos Financieros - Inversiones Financieras Temporarias</v>
      </c>
      <c r="F337" s="163">
        <v>65</v>
      </c>
      <c r="G337" s="16" t="s">
        <v>259</v>
      </c>
      <c r="H337" s="7" t="s">
        <v>260</v>
      </c>
      <c r="I337" s="7" t="s">
        <v>452</v>
      </c>
      <c r="J337" s="7" t="s">
        <v>463</v>
      </c>
      <c r="K337" s="88"/>
      <c r="L337" s="38"/>
      <c r="M337" s="38"/>
      <c r="N337" s="38"/>
      <c r="O337" s="38"/>
      <c r="P337" s="38"/>
      <c r="Q337" s="67"/>
      <c r="DU337" s="75"/>
      <c r="DV337" s="318"/>
    </row>
    <row r="338" spans="1:126" ht="15" hidden="1" customHeight="1" x14ac:dyDescent="0.3">
      <c r="A338" s="1" t="str">
        <f t="shared" si="1105"/>
        <v>ADIFSE</v>
      </c>
      <c r="B338" s="1" t="str">
        <f t="shared" si="1106"/>
        <v>ADIFSE</v>
      </c>
      <c r="C338" s="1" t="str">
        <f t="shared" si="1107"/>
        <v>MAY</v>
      </c>
      <c r="D338" s="1" t="s">
        <v>108</v>
      </c>
      <c r="E338" s="160" t="str">
        <f>CONCATENATE(H338," - ",I338)</f>
        <v>Incremento de Activos Financieros - Cuentas a Cobrar</v>
      </c>
      <c r="F338" s="164">
        <v>66</v>
      </c>
      <c r="G338" s="16" t="s">
        <v>259</v>
      </c>
      <c r="H338" s="7" t="s">
        <v>260</v>
      </c>
      <c r="I338" s="7" t="s">
        <v>261</v>
      </c>
      <c r="J338" s="7" t="s">
        <v>463</v>
      </c>
      <c r="K338" s="38"/>
      <c r="L338" s="38"/>
      <c r="M338" s="38"/>
      <c r="N338" s="38"/>
      <c r="O338" s="38"/>
      <c r="P338" s="38"/>
      <c r="Q338" s="67"/>
      <c r="DU338" s="41"/>
    </row>
    <row r="339" spans="1:126" ht="15" hidden="1" customHeight="1" x14ac:dyDescent="0.3">
      <c r="A339" s="1" t="str">
        <f t="shared" si="1105"/>
        <v>ADIFSE</v>
      </c>
      <c r="B339" s="1" t="str">
        <f t="shared" si="1106"/>
        <v>ADIFSE</v>
      </c>
      <c r="C339" s="1" t="str">
        <f t="shared" si="1107"/>
        <v>MAY</v>
      </c>
      <c r="D339" s="1" t="s">
        <v>108</v>
      </c>
      <c r="E339" s="160" t="str">
        <f t="shared" ref="E339:E341" si="1109">CONCATENATE(H339," - ",I339)</f>
        <v>Incremento de Activos Financieros - CMEC Obras BCyL</v>
      </c>
      <c r="F339" s="164" t="s">
        <v>262</v>
      </c>
      <c r="G339" s="16" t="s">
        <v>259</v>
      </c>
      <c r="H339" s="7" t="s">
        <v>260</v>
      </c>
      <c r="I339" s="16" t="s">
        <v>263</v>
      </c>
      <c r="J339" s="7" t="s">
        <v>463</v>
      </c>
      <c r="K339" s="38"/>
      <c r="L339" s="38"/>
      <c r="M339" s="38"/>
      <c r="N339" s="38"/>
      <c r="O339" s="38"/>
      <c r="P339" s="38"/>
      <c r="Q339" s="67"/>
      <c r="DU339" s="41"/>
    </row>
    <row r="340" spans="1:126" ht="15" hidden="1" customHeight="1" x14ac:dyDescent="0.3">
      <c r="A340" s="1" t="str">
        <f t="shared" si="1105"/>
        <v>ADIFSE</v>
      </c>
      <c r="B340" s="1" t="str">
        <f t="shared" si="1106"/>
        <v>ADIFSE</v>
      </c>
      <c r="C340" s="1" t="str">
        <f t="shared" si="1107"/>
        <v>MAY</v>
      </c>
      <c r="D340" s="1" t="s">
        <v>108</v>
      </c>
      <c r="E340" s="160" t="str">
        <f t="shared" si="1109"/>
        <v>Incremento de Activos Financieros - CMEC Obras ADIF</v>
      </c>
      <c r="F340" s="164" t="s">
        <v>264</v>
      </c>
      <c r="G340" s="16" t="s">
        <v>259</v>
      </c>
      <c r="H340" s="7" t="s">
        <v>260</v>
      </c>
      <c r="I340" s="16" t="s">
        <v>265</v>
      </c>
      <c r="J340" s="7" t="s">
        <v>463</v>
      </c>
      <c r="K340" s="38"/>
      <c r="L340" s="38"/>
      <c r="M340" s="38"/>
      <c r="N340" s="38"/>
      <c r="O340" s="38"/>
      <c r="P340" s="38"/>
      <c r="Q340" s="67"/>
      <c r="DU340" s="41"/>
    </row>
    <row r="341" spans="1:126" ht="15" hidden="1" customHeight="1" x14ac:dyDescent="0.3">
      <c r="A341" s="1" t="str">
        <f t="shared" si="1105"/>
        <v>ADIFSE</v>
      </c>
      <c r="B341" s="1" t="str">
        <f t="shared" si="1106"/>
        <v>ADIFSE</v>
      </c>
      <c r="C341" s="1" t="str">
        <f t="shared" si="1107"/>
        <v>MAY</v>
      </c>
      <c r="D341" s="1" t="s">
        <v>108</v>
      </c>
      <c r="E341" s="160" t="str">
        <f t="shared" si="1109"/>
        <v>Incremento de Activos Financieros - Diferidos y Adelantos a Proveedores y Contratistas resto</v>
      </c>
      <c r="F341" s="164" t="s">
        <v>266</v>
      </c>
      <c r="G341" s="16" t="s">
        <v>259</v>
      </c>
      <c r="H341" s="7" t="s">
        <v>260</v>
      </c>
      <c r="I341" s="16" t="s">
        <v>267</v>
      </c>
      <c r="J341" s="7" t="s">
        <v>463</v>
      </c>
      <c r="K341" s="38"/>
      <c r="L341" s="38"/>
      <c r="M341" s="38"/>
      <c r="N341" s="38"/>
      <c r="O341" s="38"/>
      <c r="P341" s="38"/>
      <c r="Q341" s="67"/>
      <c r="DU341" s="41"/>
    </row>
    <row r="342" spans="1:126" ht="15" hidden="1" customHeight="1" x14ac:dyDescent="0.3">
      <c r="A342" s="1" t="str">
        <f t="shared" si="1105"/>
        <v>ADIFSE</v>
      </c>
      <c r="B342" s="1" t="str">
        <f t="shared" si="1106"/>
        <v>ADIFSE</v>
      </c>
      <c r="C342" s="1" t="str">
        <f t="shared" si="1107"/>
        <v>MAY</v>
      </c>
      <c r="D342" s="1" t="s">
        <v>108</v>
      </c>
      <c r="E342" s="160" t="str">
        <f>CONCATENATE(H342," - ",I342)</f>
        <v>Incremento de Activos Financieros - Diferidos y Adelantos a Proveedores y Contratistas</v>
      </c>
      <c r="F342" s="163">
        <v>68</v>
      </c>
      <c r="G342" s="16" t="s">
        <v>259</v>
      </c>
      <c r="H342" s="7" t="s">
        <v>260</v>
      </c>
      <c r="I342" s="16" t="s">
        <v>268</v>
      </c>
      <c r="J342" s="7" t="s">
        <v>463</v>
      </c>
      <c r="K342" s="38"/>
      <c r="L342" s="38"/>
      <c r="M342" s="38"/>
      <c r="N342" s="38"/>
      <c r="O342" s="38"/>
      <c r="P342" s="38"/>
      <c r="Q342" s="67"/>
      <c r="DU342" s="75"/>
    </row>
    <row r="343" spans="1:126" ht="15" hidden="1" customHeight="1" x14ac:dyDescent="0.3">
      <c r="A343" s="1" t="str">
        <f t="shared" si="1105"/>
        <v>ADIFSE</v>
      </c>
      <c r="B343" s="1" t="str">
        <f t="shared" si="1106"/>
        <v>ADIFSE</v>
      </c>
      <c r="C343" s="1" t="str">
        <f t="shared" si="1107"/>
        <v>MAY</v>
      </c>
      <c r="D343" s="1" t="s">
        <v>108</v>
      </c>
      <c r="E343" s="160" t="str">
        <f>CONCATENATE(H343," - ",I343)</f>
        <v>Disminución de Otros Pasivos - Amortización de deuda</v>
      </c>
      <c r="F343" s="164" t="s">
        <v>269</v>
      </c>
      <c r="G343" s="16" t="s">
        <v>259</v>
      </c>
      <c r="H343" s="16" t="s">
        <v>270</v>
      </c>
      <c r="I343" s="16" t="s">
        <v>271</v>
      </c>
      <c r="J343" s="7" t="s">
        <v>463</v>
      </c>
      <c r="K343" s="38"/>
      <c r="L343" s="38"/>
      <c r="M343" s="38"/>
      <c r="N343" s="38"/>
      <c r="O343" s="38"/>
      <c r="P343" s="38"/>
      <c r="Q343" s="67"/>
      <c r="DU343" s="41"/>
    </row>
    <row r="344" spans="1:126" ht="15" hidden="1" customHeight="1" x14ac:dyDescent="0.3">
      <c r="A344" s="1" t="str">
        <f t="shared" si="1105"/>
        <v>ADIFSE</v>
      </c>
      <c r="B344" s="1" t="str">
        <f t="shared" si="1106"/>
        <v>ADIFSE</v>
      </c>
      <c r="C344" s="1" t="str">
        <f t="shared" si="1107"/>
        <v>MAY</v>
      </c>
      <c r="D344" s="1" t="s">
        <v>108</v>
      </c>
      <c r="E344" s="159" t="str">
        <f>CONCATENATE(H344," - ",I344)</f>
        <v>Aplicaciones Financieras - Total</v>
      </c>
      <c r="F344" s="162"/>
      <c r="G344" s="16" t="s">
        <v>259</v>
      </c>
      <c r="H344" s="16" t="s">
        <v>259</v>
      </c>
      <c r="I344" s="7" t="s">
        <v>173</v>
      </c>
      <c r="J344" s="7" t="s">
        <v>463</v>
      </c>
      <c r="K344" s="46"/>
      <c r="L344" s="46"/>
      <c r="M344" s="46"/>
      <c r="N344" s="46"/>
      <c r="O344" s="46"/>
      <c r="P344" s="46"/>
      <c r="Q344" s="56"/>
      <c r="DU344" s="75"/>
    </row>
    <row r="345" spans="1:126" ht="15" hidden="1" customHeight="1" x14ac:dyDescent="0.3">
      <c r="A345" s="1" t="str">
        <f t="shared" si="1105"/>
        <v>ADIFSE</v>
      </c>
      <c r="B345" s="1" t="str">
        <f t="shared" si="1106"/>
        <v>ADIFSE</v>
      </c>
      <c r="C345" s="1" t="str">
        <f t="shared" si="1107"/>
        <v>MAY</v>
      </c>
      <c r="D345" s="1" t="s">
        <v>108</v>
      </c>
      <c r="E345" s="154"/>
      <c r="F345" s="153"/>
      <c r="G345" s="1"/>
      <c r="H345" s="32"/>
      <c r="I345" s="32"/>
      <c r="J345" s="32"/>
      <c r="K345" s="88"/>
      <c r="L345" s="46"/>
      <c r="M345" s="46"/>
      <c r="N345" s="46"/>
      <c r="O345" s="46"/>
      <c r="P345" s="46"/>
      <c r="Q345" s="56"/>
      <c r="DU345" s="41"/>
    </row>
    <row r="346" spans="1:126" ht="15" hidden="1" customHeight="1" x14ac:dyDescent="0.3">
      <c r="A346" s="1" t="str">
        <f t="shared" si="1105"/>
        <v>ADIFSE</v>
      </c>
      <c r="B346" s="1" t="str">
        <f t="shared" si="1106"/>
        <v>ADIFSE</v>
      </c>
      <c r="C346" s="1" t="str">
        <f t="shared" si="1107"/>
        <v>MAY</v>
      </c>
      <c r="D346" s="1" t="s">
        <v>108</v>
      </c>
      <c r="E346" s="170" t="str">
        <f>G347</f>
        <v>Financiamiento Gastos Corrientes</v>
      </c>
      <c r="F346" s="171"/>
      <c r="G346" s="1"/>
      <c r="H346" s="32"/>
      <c r="I346" s="32"/>
      <c r="J346" s="32"/>
      <c r="K346" s="88"/>
      <c r="L346" s="46"/>
      <c r="M346" s="46"/>
      <c r="N346" s="46"/>
      <c r="O346" s="46"/>
      <c r="P346" s="46"/>
      <c r="Q346" s="56"/>
      <c r="DU346" s="41"/>
    </row>
    <row r="347" spans="1:126" ht="15" hidden="1" customHeight="1" x14ac:dyDescent="0.3">
      <c r="A347" s="1" t="str">
        <f t="shared" si="1105"/>
        <v>ADIFSE</v>
      </c>
      <c r="B347" s="1" t="str">
        <f t="shared" si="1106"/>
        <v>ADIFSE</v>
      </c>
      <c r="C347" s="1" t="str">
        <f t="shared" si="1107"/>
        <v>MAY</v>
      </c>
      <c r="D347" s="1" t="s">
        <v>108</v>
      </c>
      <c r="E347" s="150" t="str">
        <f>H347</f>
        <v>Tesoro y Crédito Interno</v>
      </c>
      <c r="F347" s="172" t="s">
        <v>272</v>
      </c>
      <c r="G347" s="32" t="s">
        <v>273</v>
      </c>
      <c r="H347" s="32" t="s">
        <v>274</v>
      </c>
      <c r="I347" s="32" t="s">
        <v>274</v>
      </c>
      <c r="J347" s="7" t="s">
        <v>463</v>
      </c>
      <c r="K347" s="38"/>
      <c r="L347" s="38"/>
      <c r="M347" s="91"/>
      <c r="N347" s="91"/>
      <c r="O347" s="91"/>
      <c r="P347" s="91"/>
      <c r="Q347" s="93"/>
      <c r="DU347" s="1"/>
    </row>
    <row r="348" spans="1:126" ht="15" hidden="1" customHeight="1" x14ac:dyDescent="0.3">
      <c r="A348" s="1" t="str">
        <f t="shared" si="1105"/>
        <v>ADIFSE</v>
      </c>
      <c r="B348" s="1" t="str">
        <f t="shared" si="1106"/>
        <v>ADIFSE</v>
      </c>
      <c r="C348" s="1" t="str">
        <f t="shared" si="1107"/>
        <v>MAY</v>
      </c>
      <c r="D348" s="1" t="s">
        <v>108</v>
      </c>
      <c r="E348" s="150" t="str">
        <f t="shared" ref="E348:E349" si="1110">H348</f>
        <v>Recursos Propios</v>
      </c>
      <c r="F348" s="172" t="s">
        <v>276</v>
      </c>
      <c r="G348" s="32" t="s">
        <v>273</v>
      </c>
      <c r="H348" s="32" t="s">
        <v>275</v>
      </c>
      <c r="I348" s="32" t="s">
        <v>275</v>
      </c>
      <c r="J348" s="32" t="s">
        <v>463</v>
      </c>
      <c r="K348" s="38"/>
      <c r="L348" s="38"/>
      <c r="M348" s="34"/>
      <c r="N348" s="34"/>
      <c r="O348" s="34"/>
      <c r="P348" s="34"/>
      <c r="Q348" s="35"/>
      <c r="DU348" s="1"/>
    </row>
    <row r="349" spans="1:126" ht="15" hidden="1" customHeight="1" x14ac:dyDescent="0.3">
      <c r="A349" s="1" t="str">
        <f t="shared" si="1105"/>
        <v>ADIFSE</v>
      </c>
      <c r="B349" s="1" t="str">
        <f t="shared" si="1106"/>
        <v>ADIFSE</v>
      </c>
      <c r="C349" s="1" t="str">
        <f t="shared" si="1107"/>
        <v>MAY</v>
      </c>
      <c r="D349" s="1" t="s">
        <v>108</v>
      </c>
      <c r="E349" s="150" t="str">
        <f t="shared" si="1110"/>
        <v>Recursos con afectación</v>
      </c>
      <c r="F349" s="172" t="s">
        <v>278</v>
      </c>
      <c r="G349" s="32" t="s">
        <v>273</v>
      </c>
      <c r="H349" s="32" t="s">
        <v>279</v>
      </c>
      <c r="I349" s="32" t="s">
        <v>279</v>
      </c>
      <c r="J349" s="32" t="s">
        <v>463</v>
      </c>
      <c r="K349" s="38"/>
      <c r="L349" s="38"/>
      <c r="M349" s="34"/>
      <c r="N349" s="34"/>
      <c r="O349" s="34"/>
      <c r="P349" s="34"/>
      <c r="Q349" s="35"/>
      <c r="DU349" s="1"/>
    </row>
    <row r="350" spans="1:126" ht="15" hidden="1" customHeight="1" x14ac:dyDescent="0.3">
      <c r="A350" s="1" t="str">
        <f t="shared" si="1105"/>
        <v>ADIFSE</v>
      </c>
      <c r="B350" s="1" t="str">
        <f t="shared" si="1106"/>
        <v>ADIFSE</v>
      </c>
      <c r="C350" s="1" t="str">
        <f t="shared" si="1107"/>
        <v>MAY</v>
      </c>
      <c r="D350" s="1" t="s">
        <v>108</v>
      </c>
      <c r="E350" s="150" t="str">
        <f>H350</f>
        <v>Otros</v>
      </c>
      <c r="F350" s="172" t="s">
        <v>280</v>
      </c>
      <c r="G350" s="32" t="s">
        <v>273</v>
      </c>
      <c r="H350" s="32" t="s">
        <v>202</v>
      </c>
      <c r="I350" s="32" t="s">
        <v>202</v>
      </c>
      <c r="J350" s="32" t="s">
        <v>463</v>
      </c>
      <c r="K350" s="38"/>
      <c r="L350" s="34"/>
      <c r="M350" s="34"/>
      <c r="N350" s="34"/>
      <c r="O350" s="38"/>
      <c r="P350" s="38"/>
      <c r="Q350" s="35"/>
      <c r="DU350" s="1"/>
    </row>
    <row r="351" spans="1:126" ht="15" hidden="1" customHeight="1" x14ac:dyDescent="0.3">
      <c r="A351" s="1" t="str">
        <f t="shared" si="1105"/>
        <v>ADIFSE</v>
      </c>
      <c r="B351" s="1" t="str">
        <f t="shared" si="1106"/>
        <v>ADIFSE</v>
      </c>
      <c r="C351" s="1" t="str">
        <f t="shared" si="1107"/>
        <v>MAY</v>
      </c>
      <c r="D351" s="1" t="s">
        <v>108</v>
      </c>
      <c r="E351" s="150" t="str">
        <f>H351</f>
        <v>Credito Externo</v>
      </c>
      <c r="F351" s="172" t="s">
        <v>281</v>
      </c>
      <c r="G351" s="32" t="s">
        <v>273</v>
      </c>
      <c r="H351" s="32" t="s">
        <v>282</v>
      </c>
      <c r="I351" s="32" t="s">
        <v>282</v>
      </c>
      <c r="J351" s="32" t="s">
        <v>463</v>
      </c>
      <c r="K351" s="38"/>
      <c r="L351" s="34"/>
      <c r="M351" s="34"/>
      <c r="N351" s="34"/>
      <c r="O351" s="34"/>
      <c r="P351" s="34"/>
      <c r="Q351" s="35"/>
      <c r="DU351" s="1"/>
    </row>
    <row r="352" spans="1:126" ht="15" hidden="1" customHeight="1" x14ac:dyDescent="0.3">
      <c r="A352" s="1" t="str">
        <f t="shared" si="1105"/>
        <v>ADIFSE</v>
      </c>
      <c r="B352" s="1" t="str">
        <f t="shared" si="1106"/>
        <v>ADIFSE</v>
      </c>
      <c r="C352" s="1" t="str">
        <f t="shared" si="1107"/>
        <v>MAY</v>
      </c>
      <c r="D352" s="1" t="s">
        <v>108</v>
      </c>
      <c r="E352" s="154" t="str">
        <f>CONCATENATE(G352," - ",I352)</f>
        <v>Financiamiento Gastos Corrientes - Total</v>
      </c>
      <c r="F352" s="153"/>
      <c r="G352" s="32" t="s">
        <v>273</v>
      </c>
      <c r="H352" s="32" t="s">
        <v>173</v>
      </c>
      <c r="I352" s="32" t="s">
        <v>173</v>
      </c>
      <c r="J352" s="32" t="s">
        <v>463</v>
      </c>
      <c r="K352" s="46"/>
      <c r="L352" s="46"/>
      <c r="M352" s="46"/>
      <c r="N352" s="46"/>
      <c r="O352" s="46"/>
      <c r="P352" s="46"/>
      <c r="Q352" s="56"/>
      <c r="DU352" s="41"/>
    </row>
    <row r="353" spans="1:125" ht="15" hidden="1" customHeight="1" x14ac:dyDescent="0.3">
      <c r="A353" s="1" t="str">
        <f t="shared" si="1105"/>
        <v>ADIFSE</v>
      </c>
      <c r="B353" s="1" t="str">
        <f t="shared" si="1106"/>
        <v>ADIFSE</v>
      </c>
      <c r="C353" s="1" t="str">
        <f t="shared" si="1107"/>
        <v>MAY</v>
      </c>
      <c r="D353" s="1" t="s">
        <v>108</v>
      </c>
      <c r="E353" s="154"/>
      <c r="F353" s="153"/>
      <c r="G353" s="32"/>
      <c r="H353" s="32"/>
      <c r="I353" s="32"/>
      <c r="J353" s="32"/>
      <c r="K353" s="38"/>
      <c r="L353" s="38"/>
      <c r="M353" s="38"/>
      <c r="N353" s="38"/>
      <c r="O353" s="38"/>
      <c r="P353" s="38"/>
      <c r="Q353" s="67"/>
      <c r="DU353" s="1"/>
    </row>
    <row r="354" spans="1:125" ht="15" hidden="1" customHeight="1" x14ac:dyDescent="0.3">
      <c r="A354" s="1" t="str">
        <f t="shared" si="1105"/>
        <v>ADIFSE</v>
      </c>
      <c r="B354" s="1" t="str">
        <f t="shared" si="1106"/>
        <v>ADIFSE</v>
      </c>
      <c r="C354" s="1" t="str">
        <f t="shared" si="1107"/>
        <v>MAY</v>
      </c>
      <c r="D354" s="1" t="s">
        <v>108</v>
      </c>
      <c r="E354" s="170" t="str">
        <f>G355</f>
        <v xml:space="preserve">Financiamiento Egresos de Capital </v>
      </c>
      <c r="F354" s="171"/>
      <c r="G354" s="32"/>
      <c r="H354" s="32"/>
      <c r="I354" s="32"/>
      <c r="J354" s="32"/>
      <c r="K354" s="38"/>
      <c r="L354" s="38"/>
      <c r="M354" s="38"/>
      <c r="N354" s="38"/>
      <c r="O354" s="38"/>
      <c r="P354" s="38"/>
      <c r="Q354" s="67"/>
      <c r="DU354" s="1"/>
    </row>
    <row r="355" spans="1:125" ht="15" hidden="1" customHeight="1" x14ac:dyDescent="0.3">
      <c r="A355" s="1" t="str">
        <f t="shared" si="1105"/>
        <v>ADIFSE</v>
      </c>
      <c r="B355" s="1" t="str">
        <f t="shared" si="1106"/>
        <v>ADIFSE</v>
      </c>
      <c r="C355" s="1" t="str">
        <f t="shared" si="1107"/>
        <v>MAY</v>
      </c>
      <c r="D355" s="1" t="s">
        <v>108</v>
      </c>
      <c r="E355" s="150" t="str">
        <f>H355</f>
        <v>Tesoro y Crédito Interno</v>
      </c>
      <c r="F355" s="172" t="s">
        <v>272</v>
      </c>
      <c r="G355" s="32" t="s">
        <v>283</v>
      </c>
      <c r="H355" s="32" t="s">
        <v>274</v>
      </c>
      <c r="I355" s="32" t="s">
        <v>274</v>
      </c>
      <c r="J355" s="32" t="s">
        <v>463</v>
      </c>
      <c r="K355" s="38"/>
      <c r="L355" s="38"/>
      <c r="M355" s="91"/>
      <c r="N355" s="91"/>
      <c r="O355" s="91"/>
      <c r="P355" s="91"/>
      <c r="Q355" s="35"/>
      <c r="DU355" s="1"/>
    </row>
    <row r="356" spans="1:125" ht="15" hidden="1" customHeight="1" x14ac:dyDescent="0.3">
      <c r="A356" s="1" t="str">
        <f t="shared" si="1105"/>
        <v>ADIFSE</v>
      </c>
      <c r="B356" s="1" t="str">
        <f t="shared" si="1106"/>
        <v>ADIFSE</v>
      </c>
      <c r="C356" s="1" t="str">
        <f t="shared" si="1107"/>
        <v>MAY</v>
      </c>
      <c r="D356" s="1" t="s">
        <v>108</v>
      </c>
      <c r="E356" s="150" t="str">
        <f t="shared" ref="E356:E357" si="1111">H356</f>
        <v>Recursos Propios</v>
      </c>
      <c r="F356" s="172" t="s">
        <v>276</v>
      </c>
      <c r="G356" s="32" t="s">
        <v>273</v>
      </c>
      <c r="H356" s="32" t="s">
        <v>275</v>
      </c>
      <c r="I356" s="32" t="s">
        <v>275</v>
      </c>
      <c r="J356" s="32" t="s">
        <v>463</v>
      </c>
      <c r="K356" s="38"/>
      <c r="L356" s="38"/>
      <c r="M356" s="91"/>
      <c r="N356" s="91"/>
      <c r="O356" s="91"/>
      <c r="P356" s="91"/>
      <c r="Q356" s="35"/>
      <c r="DU356" s="1"/>
    </row>
    <row r="357" spans="1:125" ht="15" hidden="1" customHeight="1" x14ac:dyDescent="0.3">
      <c r="A357" s="1" t="str">
        <f t="shared" si="1105"/>
        <v>ADIFSE</v>
      </c>
      <c r="B357" s="1" t="str">
        <f t="shared" si="1106"/>
        <v>ADIFSE</v>
      </c>
      <c r="C357" s="1" t="str">
        <f t="shared" si="1107"/>
        <v>MAY</v>
      </c>
      <c r="D357" s="1" t="s">
        <v>108</v>
      </c>
      <c r="E357" s="150" t="str">
        <f t="shared" si="1111"/>
        <v>Recursos con afectación</v>
      </c>
      <c r="F357" s="172" t="s">
        <v>278</v>
      </c>
      <c r="G357" s="32" t="s">
        <v>273</v>
      </c>
      <c r="H357" s="32" t="s">
        <v>279</v>
      </c>
      <c r="I357" s="32" t="s">
        <v>279</v>
      </c>
      <c r="J357" s="32" t="s">
        <v>463</v>
      </c>
      <c r="K357" s="38"/>
      <c r="L357" s="38"/>
      <c r="M357" s="91"/>
      <c r="N357" s="91"/>
      <c r="O357" s="91"/>
      <c r="P357" s="91"/>
      <c r="Q357" s="35"/>
      <c r="DU357" s="1"/>
    </row>
    <row r="358" spans="1:125" ht="15" hidden="1" customHeight="1" x14ac:dyDescent="0.3">
      <c r="A358" s="1" t="str">
        <f t="shared" si="1105"/>
        <v>ADIFSE</v>
      </c>
      <c r="B358" s="1" t="str">
        <f t="shared" si="1106"/>
        <v>ADIFSE</v>
      </c>
      <c r="C358" s="1" t="str">
        <f t="shared" si="1107"/>
        <v>MAY</v>
      </c>
      <c r="D358" s="1" t="s">
        <v>108</v>
      </c>
      <c r="E358" s="150" t="str">
        <f>H358</f>
        <v>Otros</v>
      </c>
      <c r="F358" s="172" t="s">
        <v>280</v>
      </c>
      <c r="G358" s="32" t="s">
        <v>283</v>
      </c>
      <c r="H358" s="32" t="s">
        <v>202</v>
      </c>
      <c r="I358" s="32" t="s">
        <v>202</v>
      </c>
      <c r="J358" s="32" t="s">
        <v>463</v>
      </c>
      <c r="K358" s="38"/>
      <c r="L358" s="34"/>
      <c r="M358" s="34"/>
      <c r="N358" s="34"/>
      <c r="O358" s="38"/>
      <c r="P358" s="38"/>
      <c r="Q358" s="35"/>
      <c r="DU358" s="1"/>
    </row>
    <row r="359" spans="1:125" ht="15" hidden="1" customHeight="1" x14ac:dyDescent="0.3">
      <c r="A359" s="1" t="str">
        <f t="shared" si="1105"/>
        <v>ADIFSE</v>
      </c>
      <c r="B359" s="1" t="str">
        <f t="shared" si="1106"/>
        <v>ADIFSE</v>
      </c>
      <c r="C359" s="1" t="str">
        <f t="shared" si="1107"/>
        <v>MAY</v>
      </c>
      <c r="D359" s="1" t="s">
        <v>108</v>
      </c>
      <c r="E359" s="150" t="str">
        <f>H359</f>
        <v>Credito Externo</v>
      </c>
      <c r="F359" s="172" t="s">
        <v>281</v>
      </c>
      <c r="G359" s="32" t="s">
        <v>283</v>
      </c>
      <c r="H359" s="32" t="s">
        <v>282</v>
      </c>
      <c r="I359" s="32" t="s">
        <v>282</v>
      </c>
      <c r="J359" s="32" t="s">
        <v>463</v>
      </c>
      <c r="K359" s="38"/>
      <c r="L359" s="34"/>
      <c r="M359" s="34"/>
      <c r="N359" s="34"/>
      <c r="O359" s="34"/>
      <c r="P359" s="34"/>
      <c r="Q359" s="35"/>
      <c r="DU359" s="1"/>
    </row>
    <row r="360" spans="1:125" ht="15" hidden="1" customHeight="1" x14ac:dyDescent="0.3">
      <c r="A360" s="1" t="str">
        <f t="shared" si="1105"/>
        <v>ADIFSE</v>
      </c>
      <c r="B360" s="1" t="str">
        <f t="shared" si="1106"/>
        <v>ADIFSE</v>
      </c>
      <c r="C360" s="1" t="str">
        <f t="shared" si="1107"/>
        <v>MAY</v>
      </c>
      <c r="D360" s="1" t="s">
        <v>108</v>
      </c>
      <c r="E360" s="154" t="str">
        <f>CONCATENATE(G360," - ",I360)</f>
        <v>Financiamiento Egresos de Capital  - Total</v>
      </c>
      <c r="F360" s="153"/>
      <c r="G360" s="32" t="s">
        <v>283</v>
      </c>
      <c r="H360" s="32" t="s">
        <v>173</v>
      </c>
      <c r="I360" s="32" t="s">
        <v>173</v>
      </c>
      <c r="J360" s="32" t="s">
        <v>463</v>
      </c>
      <c r="K360" s="91"/>
      <c r="L360" s="91"/>
      <c r="M360" s="91"/>
      <c r="N360" s="91"/>
      <c r="O360" s="91"/>
      <c r="P360" s="91"/>
      <c r="Q360" s="93"/>
      <c r="DU360" s="41"/>
    </row>
    <row r="361" spans="1:125" ht="15" hidden="1" customHeight="1" x14ac:dyDescent="0.3">
      <c r="A361" s="1" t="str">
        <f t="shared" si="1105"/>
        <v>ADIFSE</v>
      </c>
      <c r="B361" s="1" t="str">
        <f t="shared" si="1106"/>
        <v>ADIFSE</v>
      </c>
      <c r="C361" s="1" t="str">
        <f t="shared" si="1107"/>
        <v>MAY</v>
      </c>
      <c r="D361" s="1" t="s">
        <v>108</v>
      </c>
      <c r="E361" s="154"/>
      <c r="F361" s="153"/>
      <c r="G361" s="32"/>
      <c r="H361" s="32"/>
      <c r="I361" s="32"/>
      <c r="J361" s="32"/>
      <c r="K361" s="88"/>
      <c r="L361" s="91"/>
      <c r="M361" s="91"/>
      <c r="N361" s="91"/>
      <c r="O361" s="91"/>
      <c r="P361" s="91"/>
      <c r="Q361" s="93"/>
      <c r="DU361" s="41"/>
    </row>
    <row r="362" spans="1:125" ht="15" hidden="1" customHeight="1" x14ac:dyDescent="0.3">
      <c r="A362" s="1" t="str">
        <f t="shared" si="1105"/>
        <v>ADIFSE</v>
      </c>
      <c r="B362" s="1" t="str">
        <f t="shared" si="1106"/>
        <v>ADIFSE</v>
      </c>
      <c r="C362" s="1" t="str">
        <f t="shared" si="1107"/>
        <v>MAY</v>
      </c>
      <c r="D362" s="1" t="s">
        <v>108</v>
      </c>
      <c r="E362" s="152" t="s">
        <v>284</v>
      </c>
      <c r="F362" s="153"/>
      <c r="G362" s="32"/>
      <c r="H362" s="32"/>
      <c r="I362" s="32"/>
      <c r="J362" s="32"/>
      <c r="K362" s="88"/>
      <c r="L362" s="91"/>
      <c r="M362" s="91"/>
      <c r="N362" s="91"/>
      <c r="O362" s="91"/>
      <c r="P362" s="91"/>
      <c r="Q362" s="93"/>
      <c r="DU362" s="41"/>
    </row>
    <row r="363" spans="1:125" ht="15" hidden="1" customHeight="1" x14ac:dyDescent="0.3">
      <c r="A363" s="1" t="str">
        <f t="shared" si="1105"/>
        <v>ADIFSE</v>
      </c>
      <c r="B363" s="1" t="str">
        <f t="shared" si="1106"/>
        <v>ADIFSE</v>
      </c>
      <c r="C363" s="1" t="str">
        <f t="shared" si="1107"/>
        <v>MAY</v>
      </c>
      <c r="D363" s="1" t="s">
        <v>108</v>
      </c>
      <c r="E363" s="150" t="str">
        <f>H363</f>
        <v>Tesoro y Crédito Interno</v>
      </c>
      <c r="F363" s="172" t="s">
        <v>272</v>
      </c>
      <c r="G363" s="32" t="s">
        <v>283</v>
      </c>
      <c r="H363" s="32" t="s">
        <v>274</v>
      </c>
      <c r="I363" s="32" t="s">
        <v>274</v>
      </c>
      <c r="J363" s="32" t="s">
        <v>463</v>
      </c>
      <c r="K363" s="38"/>
      <c r="L363" s="38"/>
      <c r="M363" s="91"/>
      <c r="N363" s="91"/>
      <c r="O363" s="91"/>
      <c r="P363" s="91"/>
      <c r="Q363" s="35"/>
      <c r="DU363" s="1"/>
    </row>
    <row r="364" spans="1:125" ht="15" hidden="1" customHeight="1" x14ac:dyDescent="0.3">
      <c r="A364" s="1" t="str">
        <f t="shared" si="1105"/>
        <v>ADIFSE</v>
      </c>
      <c r="B364" s="1" t="str">
        <f t="shared" si="1106"/>
        <v>ADIFSE</v>
      </c>
      <c r="C364" s="1" t="str">
        <f t="shared" si="1107"/>
        <v>MAY</v>
      </c>
      <c r="D364" s="1" t="s">
        <v>108</v>
      </c>
      <c r="E364" s="150" t="str">
        <f t="shared" ref="E364:E365" si="1112">H364</f>
        <v>Recursos Propios</v>
      </c>
      <c r="F364" s="172" t="s">
        <v>276</v>
      </c>
      <c r="G364" s="32" t="s">
        <v>273</v>
      </c>
      <c r="H364" s="32" t="s">
        <v>275</v>
      </c>
      <c r="I364" s="32" t="s">
        <v>275</v>
      </c>
      <c r="J364" s="32" t="s">
        <v>463</v>
      </c>
      <c r="K364" s="38"/>
      <c r="L364" s="38"/>
      <c r="M364" s="91"/>
      <c r="N364" s="91"/>
      <c r="O364" s="91"/>
      <c r="P364" s="91"/>
      <c r="Q364" s="93"/>
      <c r="DU364" s="1"/>
    </row>
    <row r="365" spans="1:125" ht="15" hidden="1" customHeight="1" x14ac:dyDescent="0.3">
      <c r="A365" s="1" t="str">
        <f t="shared" si="1105"/>
        <v>ADIFSE</v>
      </c>
      <c r="B365" s="1" t="str">
        <f t="shared" si="1106"/>
        <v>ADIFSE</v>
      </c>
      <c r="C365" s="1" t="str">
        <f t="shared" si="1107"/>
        <v>MAY</v>
      </c>
      <c r="D365" s="1" t="s">
        <v>108</v>
      </c>
      <c r="E365" s="150" t="str">
        <f t="shared" si="1112"/>
        <v>Recursos con afectación</v>
      </c>
      <c r="F365" s="172" t="s">
        <v>278</v>
      </c>
      <c r="G365" s="32" t="s">
        <v>273</v>
      </c>
      <c r="H365" s="32" t="s">
        <v>279</v>
      </c>
      <c r="I365" s="32" t="s">
        <v>279</v>
      </c>
      <c r="J365" s="32" t="s">
        <v>463</v>
      </c>
      <c r="K365" s="38"/>
      <c r="L365" s="38"/>
      <c r="M365" s="91"/>
      <c r="N365" s="91"/>
      <c r="O365" s="91"/>
      <c r="P365" s="91"/>
      <c r="Q365" s="93"/>
      <c r="DU365" s="1"/>
    </row>
    <row r="366" spans="1:125" ht="15" hidden="1" customHeight="1" x14ac:dyDescent="0.3">
      <c r="A366" s="1" t="str">
        <f t="shared" si="1105"/>
        <v>ADIFSE</v>
      </c>
      <c r="B366" s="1" t="str">
        <f t="shared" si="1106"/>
        <v>ADIFSE</v>
      </c>
      <c r="C366" s="1" t="str">
        <f t="shared" si="1107"/>
        <v>MAY</v>
      </c>
      <c r="D366" s="1" t="s">
        <v>108</v>
      </c>
      <c r="E366" s="150" t="str">
        <f>H366</f>
        <v>Otros</v>
      </c>
      <c r="F366" s="172" t="s">
        <v>280</v>
      </c>
      <c r="G366" s="32" t="s">
        <v>283</v>
      </c>
      <c r="H366" s="32" t="s">
        <v>202</v>
      </c>
      <c r="I366" s="32" t="s">
        <v>202</v>
      </c>
      <c r="J366" s="32" t="s">
        <v>463</v>
      </c>
      <c r="K366" s="38"/>
      <c r="L366" s="34"/>
      <c r="M366" s="34"/>
      <c r="N366" s="34"/>
      <c r="O366" s="38"/>
      <c r="P366" s="38"/>
      <c r="Q366" s="35"/>
      <c r="DU366" s="1"/>
    </row>
    <row r="367" spans="1:125" ht="15" hidden="1" customHeight="1" x14ac:dyDescent="0.3">
      <c r="A367" s="1" t="str">
        <f t="shared" si="1105"/>
        <v>ADIFSE</v>
      </c>
      <c r="B367" s="1" t="str">
        <f t="shared" si="1106"/>
        <v>ADIFSE</v>
      </c>
      <c r="C367" s="1" t="str">
        <f t="shared" si="1107"/>
        <v>MAY</v>
      </c>
      <c r="D367" s="1" t="s">
        <v>108</v>
      </c>
      <c r="E367" s="150" t="str">
        <f>H367</f>
        <v>Credito Externo</v>
      </c>
      <c r="F367" s="172" t="s">
        <v>281</v>
      </c>
      <c r="G367" s="32" t="s">
        <v>283</v>
      </c>
      <c r="H367" s="32" t="s">
        <v>282</v>
      </c>
      <c r="I367" s="32" t="s">
        <v>282</v>
      </c>
      <c r="J367" s="32" t="s">
        <v>463</v>
      </c>
      <c r="K367" s="38"/>
      <c r="L367" s="34"/>
      <c r="M367" s="34"/>
      <c r="N367" s="34"/>
      <c r="O367" s="34"/>
      <c r="P367" s="34"/>
      <c r="Q367" s="35"/>
      <c r="DU367" s="1"/>
    </row>
    <row r="368" spans="1:125" ht="15" hidden="1" customHeight="1" x14ac:dyDescent="0.3">
      <c r="A368" s="1" t="str">
        <f t="shared" si="1105"/>
        <v>ADIFSE</v>
      </c>
      <c r="B368" s="1" t="str">
        <f t="shared" si="1106"/>
        <v>ADIFSE</v>
      </c>
      <c r="C368" s="1" t="str">
        <f t="shared" si="1107"/>
        <v>MAY</v>
      </c>
      <c r="D368" s="1" t="s">
        <v>108</v>
      </c>
      <c r="E368" s="154" t="s">
        <v>285</v>
      </c>
      <c r="F368" s="153"/>
      <c r="G368" s="32" t="s">
        <v>285</v>
      </c>
      <c r="H368" s="32" t="s">
        <v>173</v>
      </c>
      <c r="I368" s="32" t="s">
        <v>173</v>
      </c>
      <c r="J368" s="32" t="s">
        <v>463</v>
      </c>
      <c r="K368" s="91"/>
      <c r="L368" s="91"/>
      <c r="M368" s="91"/>
      <c r="N368" s="91"/>
      <c r="O368" s="91"/>
      <c r="P368" s="91"/>
      <c r="Q368" s="93"/>
      <c r="DU368" s="41"/>
    </row>
    <row r="369" spans="1:125" ht="15" customHeight="1" x14ac:dyDescent="0.3">
      <c r="A369" s="1"/>
      <c r="B369" s="1"/>
      <c r="C369" s="1"/>
      <c r="D369" s="41"/>
      <c r="E369" s="1"/>
      <c r="F369" s="2"/>
      <c r="G369" s="1"/>
      <c r="H369" s="1"/>
      <c r="I369" s="1"/>
      <c r="J369" s="1"/>
      <c r="K369" s="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4"/>
      <c r="X369" s="3"/>
      <c r="Y369" s="3"/>
      <c r="Z369" s="3"/>
      <c r="AA369" s="3"/>
      <c r="AB369" s="3"/>
      <c r="AC369" s="5"/>
      <c r="AD369" s="1"/>
      <c r="AE369" s="1"/>
      <c r="AF369" s="1"/>
      <c r="AG369" s="1"/>
      <c r="AH369" s="1"/>
      <c r="AI369" s="5"/>
      <c r="AJ369" s="1"/>
      <c r="AK369" s="1"/>
      <c r="AL369" s="1"/>
      <c r="AM369" s="1"/>
      <c r="AN369" s="1"/>
      <c r="AO369" s="5"/>
      <c r="AP369" s="1"/>
      <c r="AQ369" s="1"/>
      <c r="AR369" s="1"/>
      <c r="AS369" s="1"/>
      <c r="AT369" s="1"/>
      <c r="AU369" s="5"/>
      <c r="AV369" s="1"/>
      <c r="AW369" s="1"/>
      <c r="AX369" s="1"/>
      <c r="AY369" s="1"/>
      <c r="AZ369" s="1"/>
      <c r="BA369" s="5"/>
      <c r="BB369" s="1"/>
      <c r="BC369" s="1"/>
      <c r="BD369" s="1"/>
      <c r="BE369" s="1"/>
      <c r="BF369" s="1"/>
      <c r="BG369" s="5"/>
      <c r="BH369" s="1"/>
      <c r="BI369" s="1"/>
      <c r="BJ369" s="1"/>
      <c r="BK369" s="1"/>
      <c r="BL369" s="1"/>
      <c r="BM369" s="5"/>
      <c r="BN369" s="1"/>
      <c r="BO369" s="1"/>
      <c r="BP369" s="1"/>
      <c r="BQ369" s="1"/>
      <c r="BR369" s="1"/>
      <c r="BS369" s="5"/>
      <c r="BT369" s="1"/>
      <c r="BU369" s="1"/>
      <c r="BV369" s="1"/>
      <c r="BW369" s="1"/>
      <c r="BX369" s="1"/>
      <c r="BY369" s="5"/>
      <c r="BZ369" s="1"/>
      <c r="CA369" s="1"/>
      <c r="CB369" s="1"/>
      <c r="CC369" s="1"/>
      <c r="CD369" s="1"/>
      <c r="CE369" s="5"/>
      <c r="CF369" s="1"/>
      <c r="CG369" s="1"/>
      <c r="CH369" s="1"/>
      <c r="CI369" s="1"/>
      <c r="CJ369" s="1"/>
      <c r="CK369" s="5"/>
      <c r="CL369" s="3"/>
      <c r="CM369" s="3"/>
      <c r="CN369" s="3"/>
      <c r="CO369" s="3"/>
      <c r="CP369" s="3"/>
      <c r="CQ369" s="3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7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</row>
    <row r="370" spans="1:125" ht="15" customHeight="1" x14ac:dyDescent="0.3">
      <c r="A370" s="1"/>
      <c r="B370" s="1"/>
      <c r="C370" s="1"/>
      <c r="D370" s="41"/>
      <c r="E370" s="1"/>
      <c r="F370" s="2"/>
      <c r="G370" s="1"/>
      <c r="H370" s="1"/>
      <c r="I370" s="1"/>
      <c r="J370" s="1"/>
      <c r="K370" s="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4"/>
      <c r="X370" s="3"/>
      <c r="Y370" s="3"/>
      <c r="Z370" s="3"/>
      <c r="AA370" s="3"/>
      <c r="AB370" s="3"/>
      <c r="AC370" s="5"/>
      <c r="AD370" s="1"/>
      <c r="AE370" s="1"/>
      <c r="AF370" s="1"/>
      <c r="AG370" s="1"/>
      <c r="AH370" s="1"/>
      <c r="AI370" s="5"/>
      <c r="AJ370" s="1"/>
      <c r="AK370" s="1"/>
      <c r="AL370" s="1"/>
      <c r="AM370" s="1"/>
      <c r="AN370" s="1"/>
      <c r="AO370" s="5"/>
      <c r="AP370" s="1"/>
      <c r="AQ370" s="1"/>
      <c r="AR370" s="1"/>
      <c r="AS370" s="1"/>
      <c r="AT370" s="1"/>
      <c r="AU370" s="5"/>
      <c r="AV370" s="1"/>
      <c r="AW370" s="1"/>
      <c r="AX370" s="1"/>
      <c r="AY370" s="1"/>
      <c r="AZ370" s="1"/>
      <c r="BA370" s="5"/>
      <c r="BB370" s="1"/>
      <c r="BC370" s="1"/>
      <c r="BD370" s="1"/>
      <c r="BE370" s="1"/>
      <c r="BF370" s="1"/>
      <c r="BG370" s="5"/>
      <c r="BH370" s="1"/>
      <c r="BI370" s="1"/>
      <c r="BJ370" s="1"/>
      <c r="BK370" s="1"/>
      <c r="BL370" s="1"/>
      <c r="BM370" s="5"/>
      <c r="BN370" s="1"/>
      <c r="BO370" s="1"/>
      <c r="BP370" s="1"/>
      <c r="BQ370" s="1"/>
      <c r="BR370" s="1"/>
      <c r="BS370" s="5"/>
      <c r="BT370" s="1"/>
      <c r="BU370" s="1"/>
      <c r="BV370" s="1"/>
      <c r="BW370" s="1"/>
      <c r="BX370" s="1"/>
      <c r="BY370" s="5"/>
      <c r="BZ370" s="1"/>
      <c r="CA370" s="1"/>
      <c r="CB370" s="1"/>
      <c r="CC370" s="1"/>
      <c r="CD370" s="1"/>
      <c r="CE370" s="5"/>
      <c r="CF370" s="1"/>
      <c r="CG370" s="1"/>
      <c r="CH370" s="1"/>
      <c r="CI370" s="1"/>
      <c r="CJ370" s="1"/>
      <c r="CK370" s="5"/>
      <c r="CL370" s="3"/>
      <c r="CM370" s="3"/>
      <c r="CN370" s="3"/>
      <c r="CO370" s="3"/>
      <c r="CP370" s="3"/>
      <c r="CQ370" s="3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7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</row>
  </sheetData>
  <autoFilter ref="A1:DV368"/>
  <pageMargins left="0.25" right="0.25" top="0.75" bottom="0.75" header="0.3" footer="0.3"/>
  <pageSetup paperSize="9" scale="26" fitToWidth="5" fitToHeight="3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Listas!$C$16:$C$27</xm:f>
          </x14:formula1>
          <xm:sqref>F7</xm:sqref>
        </x14:dataValidation>
        <x14:dataValidation type="list" allowBlank="1" showInputMessage="1" showErrorMessage="1">
          <x14:formula1>
            <xm:f>Listas!$C$40:$C$66</xm:f>
          </x14:formula1>
          <xm:sqref>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133"/>
  <sheetViews>
    <sheetView showGridLines="0" topLeftCell="A4" zoomScale="86" zoomScaleNormal="86" zoomScaleSheetLayoutView="89" workbookViewId="0">
      <pane xSplit="7" ySplit="4" topLeftCell="K8" activePane="bottomRight" state="frozen"/>
      <selection activeCell="A4" sqref="A4"/>
      <selection pane="topRight" activeCell="H4" sqref="H4"/>
      <selection pane="bottomLeft" activeCell="A8" sqref="A8"/>
      <selection pane="bottomRight" activeCell="H7" sqref="H7:O24"/>
    </sheetView>
  </sheetViews>
  <sheetFormatPr baseColWidth="10" defaultColWidth="11.42578125" defaultRowHeight="15" x14ac:dyDescent="0.25"/>
  <cols>
    <col min="5" max="5" width="44.140625" customWidth="1"/>
    <col min="6" max="6" width="12.140625" hidden="1" customWidth="1"/>
    <col min="7" max="7" width="11.42578125" hidden="1" customWidth="1"/>
    <col min="8" max="8" width="19.5703125" bestFit="1" customWidth="1"/>
    <col min="9" max="9" width="14.42578125" customWidth="1"/>
    <col min="10" max="10" width="14.5703125" customWidth="1"/>
    <col min="11" max="20" width="14.42578125" customWidth="1"/>
    <col min="21" max="21" width="21" style="364" customWidth="1"/>
    <col min="22" max="22" width="20.85546875" style="364" customWidth="1"/>
    <col min="23" max="23" width="11.42578125" style="335"/>
    <col min="24" max="24" width="5.28515625" customWidth="1"/>
    <col min="29" max="29" width="14.42578125" hidden="1" customWidth="1"/>
  </cols>
  <sheetData>
    <row r="1" spans="1:29" ht="18.75" x14ac:dyDescent="0.3">
      <c r="A1" s="173" t="s">
        <v>333</v>
      </c>
      <c r="B1" s="175"/>
      <c r="C1" s="176"/>
      <c r="D1" s="176"/>
      <c r="E1" s="176"/>
      <c r="F1" s="177"/>
      <c r="G1" s="177"/>
      <c r="H1" s="239"/>
      <c r="I1" s="240" t="str">
        <f>IF(I2&lt;=$F$2,"Ejecutado","Proyectado")</f>
        <v>Ejecutado</v>
      </c>
      <c r="J1" s="240" t="str">
        <f t="shared" ref="J1:S1" si="0">IF(J2&lt;=$F$2,"Ejecutado","Proyectado")</f>
        <v>Ejecutado</v>
      </c>
      <c r="K1" s="240" t="str">
        <f t="shared" si="0"/>
        <v>Ejecutado</v>
      </c>
      <c r="L1" s="240" t="str">
        <f t="shared" si="0"/>
        <v>Ejecutado</v>
      </c>
      <c r="M1" s="240" t="str">
        <f t="shared" si="0"/>
        <v>Ejecutado</v>
      </c>
      <c r="N1" s="240" t="str">
        <f t="shared" si="0"/>
        <v>Proyectado</v>
      </c>
      <c r="O1" s="240" t="str">
        <f t="shared" si="0"/>
        <v>Proyectado</v>
      </c>
      <c r="P1" s="240" t="str">
        <f t="shared" si="0"/>
        <v>Proyectado</v>
      </c>
      <c r="Q1" s="240" t="str">
        <f t="shared" si="0"/>
        <v>Proyectado</v>
      </c>
      <c r="R1" s="240" t="str">
        <f t="shared" si="0"/>
        <v>Proyectado</v>
      </c>
      <c r="S1" s="240" t="str">
        <f t="shared" si="0"/>
        <v>Proyectado</v>
      </c>
      <c r="T1" s="240" t="str">
        <f>IF(T2&lt;=$F$2,"Ejecutado","Proyectado")</f>
        <v>Proyectado</v>
      </c>
      <c r="U1" s="349"/>
      <c r="V1" s="350"/>
      <c r="W1" s="178"/>
      <c r="X1" s="179"/>
      <c r="Y1" s="241"/>
      <c r="Z1" s="174"/>
      <c r="AA1" s="174"/>
      <c r="AB1" s="174"/>
      <c r="AC1" s="328" t="s">
        <v>460</v>
      </c>
    </row>
    <row r="2" spans="1:29" ht="16.5" x14ac:dyDescent="0.3">
      <c r="A2" s="180"/>
      <c r="B2" s="181"/>
      <c r="C2" s="505" t="s">
        <v>129</v>
      </c>
      <c r="D2" s="506"/>
      <c r="E2" s="182" t="str">
        <f>Input!F7</f>
        <v>MAY</v>
      </c>
      <c r="F2" s="242">
        <f>VLOOKUP(E2,Listas!C16:D27,2,FALSE)</f>
        <v>5</v>
      </c>
      <c r="G2" s="183"/>
      <c r="H2" s="243"/>
      <c r="I2" s="244">
        <v>1</v>
      </c>
      <c r="J2" s="244">
        <v>2</v>
      </c>
      <c r="K2" s="244">
        <v>3</v>
      </c>
      <c r="L2" s="244">
        <v>4</v>
      </c>
      <c r="M2" s="244">
        <v>5</v>
      </c>
      <c r="N2" s="244">
        <v>6</v>
      </c>
      <c r="O2" s="244">
        <v>7</v>
      </c>
      <c r="P2" s="244">
        <v>8</v>
      </c>
      <c r="Q2" s="244">
        <v>9</v>
      </c>
      <c r="R2" s="244">
        <v>10</v>
      </c>
      <c r="S2" s="244">
        <v>11</v>
      </c>
      <c r="T2" s="244">
        <v>12</v>
      </c>
      <c r="U2" s="351" t="str">
        <f>Input!E10</f>
        <v>Tablero de Control Min. Transp. versión 1/2017</v>
      </c>
      <c r="V2" s="352"/>
      <c r="W2" s="327" t="s">
        <v>459</v>
      </c>
      <c r="X2" s="245"/>
      <c r="Y2" s="246"/>
      <c r="Z2" s="188"/>
      <c r="AA2" s="188"/>
      <c r="AB2" s="188"/>
      <c r="AC2" t="s">
        <v>163</v>
      </c>
    </row>
    <row r="3" spans="1:29" ht="16.5" x14ac:dyDescent="0.3">
      <c r="A3" s="180"/>
      <c r="B3" s="181"/>
      <c r="C3" s="507" t="s">
        <v>131</v>
      </c>
      <c r="D3" s="508"/>
      <c r="E3" s="189" t="str">
        <f>Input!F8</f>
        <v>ADIFSE</v>
      </c>
      <c r="F3" s="183"/>
      <c r="G3" s="183"/>
      <c r="H3" s="243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353"/>
      <c r="V3" s="354"/>
      <c r="W3" s="329"/>
      <c r="X3" s="248"/>
      <c r="Y3" s="249"/>
      <c r="Z3" s="188"/>
      <c r="AA3" s="188"/>
      <c r="AB3" s="188"/>
      <c r="AC3" t="s">
        <v>163</v>
      </c>
    </row>
    <row r="4" spans="1:29" ht="16.5" customHeight="1" x14ac:dyDescent="0.3">
      <c r="A4" s="180"/>
      <c r="B4" s="181"/>
      <c r="C4" s="296" t="s">
        <v>292</v>
      </c>
      <c r="D4" s="296"/>
      <c r="E4" s="189" t="str">
        <f>Input!F9</f>
        <v>ADIFSE</v>
      </c>
      <c r="F4" s="183"/>
      <c r="G4" s="183"/>
      <c r="H4" s="243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353"/>
      <c r="V4" s="354"/>
      <c r="W4" s="329"/>
      <c r="X4" s="248"/>
      <c r="Y4" s="249"/>
      <c r="Z4" s="188"/>
      <c r="AA4" s="188"/>
      <c r="AB4" s="188"/>
      <c r="AC4" t="s">
        <v>163</v>
      </c>
    </row>
    <row r="5" spans="1:29" ht="16.5" hidden="1" x14ac:dyDescent="0.3">
      <c r="A5" s="180"/>
      <c r="B5" s="181"/>
      <c r="C5" s="184"/>
      <c r="D5" s="186"/>
      <c r="E5" s="190"/>
      <c r="F5" s="183"/>
      <c r="G5" s="183"/>
      <c r="H5" s="243"/>
      <c r="I5" s="186"/>
      <c r="J5" s="186"/>
      <c r="K5" s="247"/>
      <c r="L5" s="247"/>
      <c r="M5" s="247"/>
      <c r="N5" s="186"/>
      <c r="O5" s="186"/>
      <c r="P5" s="186"/>
      <c r="Q5" s="186"/>
      <c r="R5" s="186"/>
      <c r="S5" s="186"/>
      <c r="T5" s="186"/>
      <c r="U5" s="353"/>
      <c r="V5" s="353"/>
      <c r="W5" s="185"/>
      <c r="X5" s="248"/>
      <c r="Y5" s="249"/>
      <c r="Z5" s="188"/>
      <c r="AA5" s="188"/>
      <c r="AB5" s="188"/>
      <c r="AC5" t="s">
        <v>163</v>
      </c>
    </row>
    <row r="6" spans="1:29" ht="16.5" hidden="1" x14ac:dyDescent="0.3">
      <c r="A6" s="180"/>
      <c r="B6" s="181"/>
      <c r="C6" s="184"/>
      <c r="D6" s="184"/>
      <c r="E6" s="184"/>
      <c r="F6" s="191" t="s">
        <v>305</v>
      </c>
      <c r="G6" s="191"/>
      <c r="H6" s="250"/>
      <c r="I6" s="251" t="s">
        <v>130</v>
      </c>
      <c r="J6" s="251" t="s">
        <v>334</v>
      </c>
      <c r="K6" s="251" t="s">
        <v>335</v>
      </c>
      <c r="L6" s="251" t="s">
        <v>190</v>
      </c>
      <c r="M6" s="251" t="s">
        <v>336</v>
      </c>
      <c r="N6" s="251" t="s">
        <v>337</v>
      </c>
      <c r="O6" s="251" t="s">
        <v>338</v>
      </c>
      <c r="P6" s="251" t="s">
        <v>339</v>
      </c>
      <c r="Q6" s="251" t="s">
        <v>340</v>
      </c>
      <c r="R6" s="251" t="s">
        <v>341</v>
      </c>
      <c r="S6" s="251" t="s">
        <v>342</v>
      </c>
      <c r="T6" s="251" t="s">
        <v>343</v>
      </c>
      <c r="U6" s="355" t="s">
        <v>344</v>
      </c>
      <c r="V6" s="355"/>
      <c r="W6" s="330"/>
      <c r="X6" s="252"/>
      <c r="Y6" s="194"/>
      <c r="Z6" s="188"/>
      <c r="AA6" s="188"/>
      <c r="AB6" s="188"/>
      <c r="AC6" t="s">
        <v>163</v>
      </c>
    </row>
    <row r="7" spans="1:29" ht="68.25" customHeight="1" x14ac:dyDescent="0.3">
      <c r="A7" s="180"/>
      <c r="B7" s="181"/>
      <c r="C7" s="184"/>
      <c r="D7" s="184"/>
      <c r="E7" s="184"/>
      <c r="F7" s="191"/>
      <c r="G7" s="191"/>
      <c r="H7" s="253" t="s">
        <v>345</v>
      </c>
      <c r="I7" s="192" t="str">
        <f t="shared" ref="I7:T7" si="1">CONCATENATE(I6," ",I1)</f>
        <v>Ene Ejecutado</v>
      </c>
      <c r="J7" s="192" t="str">
        <f t="shared" si="1"/>
        <v>Feb Ejecutado</v>
      </c>
      <c r="K7" s="192" t="str">
        <f t="shared" si="1"/>
        <v>Mar Ejecutado</v>
      </c>
      <c r="L7" s="192" t="str">
        <f t="shared" si="1"/>
        <v>Abr Ejecutado</v>
      </c>
      <c r="M7" s="192" t="str">
        <f t="shared" si="1"/>
        <v>May Ejecutado</v>
      </c>
      <c r="N7" s="192" t="str">
        <f t="shared" si="1"/>
        <v>Jun Proyectado</v>
      </c>
      <c r="O7" s="192" t="str">
        <f t="shared" si="1"/>
        <v>Jul Proyectado</v>
      </c>
      <c r="P7" s="192" t="str">
        <f t="shared" si="1"/>
        <v>Ago Proyectado</v>
      </c>
      <c r="Q7" s="192" t="str">
        <f t="shared" si="1"/>
        <v>Sep Proyectado</v>
      </c>
      <c r="R7" s="192" t="str">
        <f t="shared" si="1"/>
        <v>Oct Proyectado</v>
      </c>
      <c r="S7" s="192" t="str">
        <f t="shared" si="1"/>
        <v>Nov Proyectado</v>
      </c>
      <c r="T7" s="192" t="str">
        <f t="shared" si="1"/>
        <v>Dic Proyectado</v>
      </c>
      <c r="U7" s="356" t="s">
        <v>346</v>
      </c>
      <c r="V7" s="356" t="s">
        <v>347</v>
      </c>
      <c r="W7" s="331" t="s">
        <v>348</v>
      </c>
      <c r="X7" s="252"/>
      <c r="Y7" s="194"/>
      <c r="Z7" s="195" t="s">
        <v>349</v>
      </c>
      <c r="AA7" s="188"/>
      <c r="AB7" s="188"/>
      <c r="AC7" t="s">
        <v>163</v>
      </c>
    </row>
    <row r="8" spans="1:29" ht="16.5" x14ac:dyDescent="0.3">
      <c r="A8" s="180"/>
      <c r="B8" s="181"/>
      <c r="C8" s="8" t="s">
        <v>161</v>
      </c>
      <c r="D8" s="198"/>
      <c r="E8" s="198"/>
      <c r="F8" s="198"/>
      <c r="G8" s="199"/>
      <c r="H8" s="200">
        <f>Input!Q13</f>
        <v>0</v>
      </c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66"/>
      <c r="V8" s="366"/>
      <c r="W8" s="256"/>
      <c r="X8" s="193"/>
      <c r="Y8" s="194"/>
      <c r="Z8" s="188"/>
      <c r="AA8" s="188"/>
      <c r="AB8" s="188"/>
      <c r="AC8" t="s">
        <v>163</v>
      </c>
    </row>
    <row r="9" spans="1:29" ht="16.5" x14ac:dyDescent="0.3">
      <c r="A9" s="196"/>
      <c r="B9" s="197"/>
      <c r="C9" s="269"/>
      <c r="D9" s="198"/>
      <c r="E9" s="198"/>
      <c r="F9" s="198"/>
      <c r="G9" s="199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66"/>
      <c r="V9" s="366"/>
      <c r="W9" s="256"/>
      <c r="X9" s="201"/>
      <c r="Y9" s="219"/>
      <c r="Z9" s="202"/>
      <c r="AA9" s="202"/>
      <c r="AB9" s="202"/>
      <c r="AC9" t="s">
        <v>163</v>
      </c>
    </row>
    <row r="10" spans="1:29" ht="16.5" x14ac:dyDescent="0.3">
      <c r="A10" s="196"/>
      <c r="B10" s="197"/>
      <c r="C10" s="198"/>
      <c r="D10" s="198" t="s">
        <v>165</v>
      </c>
      <c r="E10" s="198"/>
      <c r="F10" s="198"/>
      <c r="G10" s="199" t="s">
        <v>164</v>
      </c>
      <c r="H10" s="200">
        <f>Input!Q15</f>
        <v>100000000</v>
      </c>
      <c r="I10" s="200">
        <f>IF($F$2&gt;=I$2,Input!CR135,Input!CR15)</f>
        <v>2611124.3699999996</v>
      </c>
      <c r="J10" s="200">
        <f>IF($F$2&gt;=J$2,Input!CS135,Input!CS15)</f>
        <v>1613121.6500000004</v>
      </c>
      <c r="K10" s="200">
        <f>IF($F$2&gt;=K$2,Input!CT135,Input!CT15)</f>
        <v>3208280.6399999997</v>
      </c>
      <c r="L10" s="200">
        <f>IF($F$2&gt;=L$2,Input!CU135,Input!CU15)</f>
        <v>2156450.3699999992</v>
      </c>
      <c r="M10" s="200">
        <f>IF($F$2&gt;=M$2,Input!CV135,Input!CV15)</f>
        <v>13390472.359999998</v>
      </c>
      <c r="N10" s="200">
        <f>IF($F$2&gt;=N$2,Input!CW135,Input!CW15)</f>
        <v>2250750</v>
      </c>
      <c r="O10" s="200">
        <f>IF($F$2&gt;=O$2,Input!CX135,Input!CX15)</f>
        <v>142197150</v>
      </c>
      <c r="P10" s="200">
        <f>IF($F$2&gt;=P$2,Input!CY135,Input!CY15)</f>
        <v>10144924.375</v>
      </c>
      <c r="Q10" s="200">
        <f>IF($F$2&gt;=Q$2,Input!CZ135,Input!CZ15)</f>
        <v>7794847.3499999996</v>
      </c>
      <c r="R10" s="200">
        <f>IF($F$2&gt;=R$2,Input!DA135,Input!DA15)</f>
        <v>16066952.449999999</v>
      </c>
      <c r="S10" s="200">
        <f>IF($F$2&gt;=S$2,Input!DB135,Input!DB15)</f>
        <v>4305900</v>
      </c>
      <c r="T10" s="200">
        <f>IF($F$2&gt;=T$2,Input!DC135,Input!DC15)</f>
        <v>4495150</v>
      </c>
      <c r="U10" s="367">
        <f>+SUM(I10:T10)</f>
        <v>210235123.56499997</v>
      </c>
      <c r="V10" s="368">
        <f t="shared" ref="V10:V15" si="2">+U10-H10</f>
        <v>110235123.56499997</v>
      </c>
      <c r="W10" s="255">
        <f>IFERROR(+V10/H10,"")</f>
        <v>1.1023512356499996</v>
      </c>
      <c r="X10" s="187"/>
      <c r="Y10" s="254"/>
      <c r="Z10" s="202"/>
      <c r="AA10" s="202"/>
      <c r="AB10" s="202"/>
      <c r="AC10" t="s">
        <v>163</v>
      </c>
    </row>
    <row r="11" spans="1:29" ht="16.5" x14ac:dyDescent="0.3">
      <c r="A11" s="196"/>
      <c r="B11" s="197"/>
      <c r="C11" s="198"/>
      <c r="D11" s="198" t="s">
        <v>167</v>
      </c>
      <c r="E11" s="198"/>
      <c r="F11" s="198"/>
      <c r="G11" s="199">
        <v>12</v>
      </c>
      <c r="H11" s="343">
        <f>Input!Q16</f>
        <v>20000000</v>
      </c>
      <c r="I11" s="200">
        <f>IF($F$2&gt;=I$2,Input!CR136,Input!CR16)</f>
        <v>0</v>
      </c>
      <c r="J11" s="200">
        <f>IF($F$2&gt;=J$2,Input!CS136,Input!CS16)</f>
        <v>5000000</v>
      </c>
      <c r="K11" s="200">
        <f>IF($F$2&gt;=K$2,Input!CT136,Input!CT16)</f>
        <v>19762848.100000001</v>
      </c>
      <c r="L11" s="200">
        <f>IF($F$2&gt;=L$2,Input!CU136,Input!CU16)</f>
        <v>11660452.290000001</v>
      </c>
      <c r="M11" s="200">
        <f>IF($F$2&gt;=M$2,Input!CV136,Input!CV16)</f>
        <v>6386265</v>
      </c>
      <c r="N11" s="200">
        <f>IF($F$2&gt;=N$2,Input!CW136,Input!CW16)</f>
        <v>5739703.4516249998</v>
      </c>
      <c r="O11" s="200">
        <f>IF($F$2&gt;=O$2,Input!CX136,Input!CX16)</f>
        <v>5739703.4516249998</v>
      </c>
      <c r="P11" s="200">
        <f>IF($F$2&gt;=P$2,Input!CY136,Input!CY16)</f>
        <v>6739703.4516249998</v>
      </c>
      <c r="Q11" s="200">
        <f>IF($F$2&gt;=Q$2,Input!CZ136,Input!CZ16)</f>
        <v>6266225.6099999994</v>
      </c>
      <c r="R11" s="200">
        <f>IF($F$2&gt;=R$2,Input!DA136,Input!DA16)</f>
        <v>3100000</v>
      </c>
      <c r="S11" s="200">
        <f>IF($F$2&gt;=S$2,Input!DB136,Input!DB16)</f>
        <v>0</v>
      </c>
      <c r="T11" s="200">
        <f>IF($F$2&gt;=T$2,Input!DC136,Input!DC16)</f>
        <v>0</v>
      </c>
      <c r="U11" s="367">
        <f t="shared" ref="U11:U14" si="3">+SUM(I11:T11)</f>
        <v>70394901.354874998</v>
      </c>
      <c r="V11" s="368">
        <f t="shared" si="2"/>
        <v>50394901.354874998</v>
      </c>
      <c r="W11" s="255">
        <f t="shared" ref="W11:W15" si="4">IFERROR(+V11/H11,"")</f>
        <v>2.5197450677437501</v>
      </c>
      <c r="X11" s="187"/>
      <c r="Y11" s="254"/>
      <c r="Z11" s="202"/>
      <c r="AA11" s="202"/>
      <c r="AB11" s="202"/>
      <c r="AC11" t="s">
        <v>163</v>
      </c>
    </row>
    <row r="12" spans="1:29" ht="16.5" x14ac:dyDescent="0.3">
      <c r="A12" s="196"/>
      <c r="B12" s="197"/>
      <c r="C12" s="198"/>
      <c r="D12" s="198" t="s">
        <v>168</v>
      </c>
      <c r="E12" s="198"/>
      <c r="F12" s="198"/>
      <c r="G12" s="199">
        <v>11</v>
      </c>
      <c r="H12" s="343">
        <f>Input!Q17</f>
        <v>0</v>
      </c>
      <c r="I12" s="200">
        <f>IF($F$2&gt;=I$2,Input!CR137,Input!CR17)</f>
        <v>0</v>
      </c>
      <c r="J12" s="200">
        <f>IF($F$2&gt;=J$2,Input!CS137,Input!CS17)</f>
        <v>0</v>
      </c>
      <c r="K12" s="200">
        <f>IF($F$2&gt;=K$2,Input!CT137,Input!CT17)</f>
        <v>0</v>
      </c>
      <c r="L12" s="200">
        <f>IF($F$2&gt;=L$2,Input!CU137,Input!CU17)</f>
        <v>0</v>
      </c>
      <c r="M12" s="200">
        <f>IF($F$2&gt;=M$2,Input!CV137,Input!CV17)</f>
        <v>0</v>
      </c>
      <c r="N12" s="200">
        <f>IF($F$2&gt;=N$2,Input!CW137,Input!CW17)</f>
        <v>0</v>
      </c>
      <c r="O12" s="200">
        <f>IF($F$2&gt;=O$2,Input!CX137,Input!CX17)</f>
        <v>0</v>
      </c>
      <c r="P12" s="200">
        <f>IF($F$2&gt;=P$2,Input!CY137,Input!CY17)</f>
        <v>0</v>
      </c>
      <c r="Q12" s="200">
        <f>IF($F$2&gt;=Q$2,Input!CZ137,Input!CZ17)</f>
        <v>0</v>
      </c>
      <c r="R12" s="200">
        <f>IF($F$2&gt;=R$2,Input!DA137,Input!DA17)</f>
        <v>0</v>
      </c>
      <c r="S12" s="200">
        <f>IF($F$2&gt;=S$2,Input!DB137,Input!DB17)</f>
        <v>0</v>
      </c>
      <c r="T12" s="200">
        <f>IF($F$2&gt;=T$2,Input!DC137,Input!DC17)</f>
        <v>0</v>
      </c>
      <c r="U12" s="367">
        <f t="shared" si="3"/>
        <v>0</v>
      </c>
      <c r="V12" s="368">
        <f t="shared" si="2"/>
        <v>0</v>
      </c>
      <c r="W12" s="255" t="str">
        <f t="shared" si="4"/>
        <v/>
      </c>
      <c r="X12" s="187"/>
      <c r="Y12" s="254"/>
      <c r="Z12" s="202"/>
      <c r="AA12" s="202"/>
      <c r="AB12" s="202"/>
      <c r="AC12" t="s">
        <v>163</v>
      </c>
    </row>
    <row r="13" spans="1:29" ht="16.5" x14ac:dyDescent="0.3">
      <c r="A13" s="205"/>
      <c r="B13" s="206"/>
      <c r="C13" s="207"/>
      <c r="D13" s="198" t="s">
        <v>170</v>
      </c>
      <c r="E13" s="198"/>
      <c r="F13" s="198"/>
      <c r="G13" s="199" t="s">
        <v>169</v>
      </c>
      <c r="H13" s="343">
        <f>Input!Q18</f>
        <v>0</v>
      </c>
      <c r="I13" s="200">
        <f>IF($F$2&gt;=I$2,Input!CR138,Input!CR18)</f>
        <v>2705561.3000000003</v>
      </c>
      <c r="J13" s="200">
        <f>IF($F$2&gt;=J$2,Input!CS138,Input!CS18)</f>
        <v>2630849.21</v>
      </c>
      <c r="K13" s="200">
        <f>IF($F$2&gt;=K$2,Input!CT138,Input!CT18)</f>
        <v>6051660.7199999997</v>
      </c>
      <c r="L13" s="200">
        <f>IF($F$2&gt;=L$2,Input!CU138,Input!CU18)</f>
        <v>11219865.51</v>
      </c>
      <c r="M13" s="200">
        <f>IF($F$2&gt;=M$2,Input!CV138,Input!CV18)</f>
        <v>8957022.1500000004</v>
      </c>
      <c r="N13" s="200">
        <f>IF($F$2&gt;=N$2,Input!CW138,Input!CW18)</f>
        <v>0</v>
      </c>
      <c r="O13" s="200">
        <f>IF($F$2&gt;=O$2,Input!CX138,Input!CX18)</f>
        <v>0</v>
      </c>
      <c r="P13" s="200">
        <f>IF($F$2&gt;=P$2,Input!CY138,Input!CY18)</f>
        <v>0</v>
      </c>
      <c r="Q13" s="200">
        <f>IF($F$2&gt;=Q$2,Input!CZ138,Input!CZ18)</f>
        <v>0</v>
      </c>
      <c r="R13" s="200">
        <f>IF($F$2&gt;=R$2,Input!DA138,Input!DA18)</f>
        <v>0</v>
      </c>
      <c r="S13" s="200">
        <f>IF($F$2&gt;=S$2,Input!DB138,Input!DB18)</f>
        <v>0</v>
      </c>
      <c r="T13" s="200">
        <f>IF($F$2&gt;=T$2,Input!DC138,Input!DC18)</f>
        <v>0</v>
      </c>
      <c r="U13" s="367">
        <f t="shared" si="3"/>
        <v>31564958.890000001</v>
      </c>
      <c r="V13" s="368">
        <f t="shared" si="2"/>
        <v>31564958.890000001</v>
      </c>
      <c r="W13" s="255" t="str">
        <f t="shared" si="4"/>
        <v/>
      </c>
      <c r="X13" s="187"/>
      <c r="Y13" s="254"/>
      <c r="Z13" s="210"/>
      <c r="AA13" s="210"/>
      <c r="AB13" s="210"/>
      <c r="AC13" t="s">
        <v>163</v>
      </c>
    </row>
    <row r="14" spans="1:29" ht="16.5" x14ac:dyDescent="0.3">
      <c r="A14" s="196"/>
      <c r="B14" s="197"/>
      <c r="C14" s="198"/>
      <c r="D14" s="198" t="s">
        <v>171</v>
      </c>
      <c r="E14" s="198"/>
      <c r="F14" s="198"/>
      <c r="G14" s="199" t="s">
        <v>307</v>
      </c>
      <c r="H14" s="343">
        <f>Input!Q19</f>
        <v>0</v>
      </c>
      <c r="I14" s="200">
        <f>IF($F$2&gt;=I$2,Input!CR139,Input!CR19)</f>
        <v>0</v>
      </c>
      <c r="J14" s="200">
        <f>IF($F$2&gt;=J$2,Input!CS139,Input!CS19)</f>
        <v>0</v>
      </c>
      <c r="K14" s="200">
        <f>IF($F$2&gt;=K$2,Input!CT139,Input!CT19)</f>
        <v>0</v>
      </c>
      <c r="L14" s="200">
        <f>IF($F$2&gt;=L$2,Input!CU139,Input!CU19)</f>
        <v>0</v>
      </c>
      <c r="M14" s="200">
        <f>IF($F$2&gt;=M$2,Input!CV139,Input!CV19)</f>
        <v>0</v>
      </c>
      <c r="N14" s="200">
        <f>IF($F$2&gt;=N$2,Input!CW139,Input!CW19)</f>
        <v>0</v>
      </c>
      <c r="O14" s="200">
        <f>IF($F$2&gt;=O$2,Input!CX139,Input!CX19)</f>
        <v>0</v>
      </c>
      <c r="P14" s="200">
        <f>IF($F$2&gt;=P$2,Input!CY139,Input!CY19)</f>
        <v>0</v>
      </c>
      <c r="Q14" s="200">
        <f>IF($F$2&gt;=Q$2,Input!CZ139,Input!CZ19)</f>
        <v>0</v>
      </c>
      <c r="R14" s="200">
        <f>IF($F$2&gt;=R$2,Input!DA139,Input!DA19)</f>
        <v>0</v>
      </c>
      <c r="S14" s="200">
        <f>IF($F$2&gt;=S$2,Input!DB139,Input!DB19)</f>
        <v>0</v>
      </c>
      <c r="T14" s="200">
        <f>IF($F$2&gt;=T$2,Input!DC139,Input!DC19)</f>
        <v>0</v>
      </c>
      <c r="U14" s="367">
        <f t="shared" si="3"/>
        <v>0</v>
      </c>
      <c r="V14" s="368">
        <f t="shared" si="2"/>
        <v>0</v>
      </c>
      <c r="W14" s="255" t="str">
        <f t="shared" si="4"/>
        <v/>
      </c>
      <c r="X14" s="187"/>
      <c r="Y14" s="254"/>
      <c r="Z14" s="202"/>
      <c r="AA14" s="202"/>
      <c r="AB14" s="202"/>
      <c r="AC14" t="s">
        <v>163</v>
      </c>
    </row>
    <row r="15" spans="1:29" ht="16.5" x14ac:dyDescent="0.3">
      <c r="A15" s="196"/>
      <c r="B15" s="197"/>
      <c r="C15" s="207" t="s">
        <v>308</v>
      </c>
      <c r="D15" s="207"/>
      <c r="E15" s="207"/>
      <c r="F15" s="207"/>
      <c r="G15" s="199"/>
      <c r="H15" s="347">
        <f t="shared" ref="H15" si="5">SUM(H10:H14)</f>
        <v>120000000</v>
      </c>
      <c r="I15" s="347">
        <f t="shared" ref="I15" si="6">SUM(I10:I14)</f>
        <v>5316685.67</v>
      </c>
      <c r="J15" s="347">
        <f t="shared" ref="J15:T15" si="7">SUM(J10:J14)</f>
        <v>9243970.8599999994</v>
      </c>
      <c r="K15" s="347">
        <f t="shared" si="7"/>
        <v>29022789.460000001</v>
      </c>
      <c r="L15" s="347">
        <f t="shared" si="7"/>
        <v>25036768.170000002</v>
      </c>
      <c r="M15" s="347">
        <f t="shared" si="7"/>
        <v>28733759.509999998</v>
      </c>
      <c r="N15" s="347">
        <f t="shared" si="7"/>
        <v>7990453.4516249998</v>
      </c>
      <c r="O15" s="347">
        <f t="shared" si="7"/>
        <v>147936853.45162499</v>
      </c>
      <c r="P15" s="347">
        <f t="shared" si="7"/>
        <v>16884627.826625001</v>
      </c>
      <c r="Q15" s="347">
        <f t="shared" si="7"/>
        <v>14061072.959999999</v>
      </c>
      <c r="R15" s="347">
        <f t="shared" si="7"/>
        <v>19166952.449999999</v>
      </c>
      <c r="S15" s="347">
        <f t="shared" si="7"/>
        <v>4305900</v>
      </c>
      <c r="T15" s="347">
        <f t="shared" si="7"/>
        <v>4495150</v>
      </c>
      <c r="U15" s="369">
        <f t="shared" ref="U15" si="8">+SUM(I15:T15)</f>
        <v>312194983.80987495</v>
      </c>
      <c r="V15" s="370">
        <f t="shared" si="2"/>
        <v>192194983.80987495</v>
      </c>
      <c r="W15" s="337">
        <f t="shared" si="4"/>
        <v>1.6016248650822913</v>
      </c>
      <c r="X15" s="187"/>
      <c r="Y15" s="254"/>
      <c r="Z15" s="202"/>
      <c r="AA15" s="202"/>
      <c r="AB15" s="202"/>
      <c r="AC15" t="s">
        <v>163</v>
      </c>
    </row>
    <row r="16" spans="1:29" ht="16.5" x14ac:dyDescent="0.3">
      <c r="A16" s="196"/>
      <c r="B16" s="197"/>
      <c r="C16" s="198"/>
      <c r="D16" s="198"/>
      <c r="E16" s="198"/>
      <c r="F16" s="198"/>
      <c r="G16" s="199"/>
      <c r="H16" s="344"/>
      <c r="I16" s="344"/>
      <c r="J16" s="344"/>
      <c r="K16" s="344"/>
      <c r="L16" s="344"/>
      <c r="M16" s="344"/>
      <c r="N16" s="344"/>
      <c r="O16" s="344"/>
      <c r="P16" s="344"/>
      <c r="Q16" s="344"/>
      <c r="R16" s="344"/>
      <c r="S16" s="344"/>
      <c r="T16" s="344"/>
      <c r="U16" s="366"/>
      <c r="V16" s="366"/>
      <c r="W16" s="256"/>
      <c r="X16" s="187"/>
      <c r="Y16" s="254"/>
      <c r="Z16" s="202"/>
      <c r="AA16" s="202"/>
      <c r="AB16" s="202"/>
      <c r="AC16" t="s">
        <v>163</v>
      </c>
    </row>
    <row r="17" spans="1:29" ht="16.5" x14ac:dyDescent="0.3">
      <c r="A17" s="196"/>
      <c r="B17" s="197"/>
      <c r="C17" s="207" t="s">
        <v>189</v>
      </c>
      <c r="D17" s="198"/>
      <c r="E17" s="198"/>
      <c r="F17" s="198"/>
      <c r="G17" s="199"/>
      <c r="H17" s="344"/>
      <c r="I17" s="344"/>
      <c r="J17" s="344"/>
      <c r="K17" s="344"/>
      <c r="L17" s="344"/>
      <c r="M17" s="344"/>
      <c r="N17" s="344"/>
      <c r="O17" s="344"/>
      <c r="P17" s="344"/>
      <c r="Q17" s="344"/>
      <c r="R17" s="344"/>
      <c r="S17" s="344"/>
      <c r="T17" s="344"/>
      <c r="U17" s="371"/>
      <c r="V17" s="366"/>
      <c r="W17" s="256"/>
      <c r="X17" s="187"/>
      <c r="Y17" s="254"/>
      <c r="Z17" s="202"/>
      <c r="AA17" s="202"/>
      <c r="AB17" s="202"/>
      <c r="AC17" t="s">
        <v>163</v>
      </c>
    </row>
    <row r="18" spans="1:29" ht="16.5" x14ac:dyDescent="0.3">
      <c r="A18" s="196"/>
      <c r="B18" s="197"/>
      <c r="C18" s="198"/>
      <c r="D18" s="198" t="s">
        <v>191</v>
      </c>
      <c r="E18" s="198"/>
      <c r="F18" s="198"/>
      <c r="G18" s="199">
        <v>1</v>
      </c>
      <c r="H18" s="212">
        <f>Input!Q33</f>
        <v>554400000</v>
      </c>
      <c r="I18" s="200">
        <f>IF($F$2&gt;=I$2,Input!CR153,Input!CR33)</f>
        <v>42054537.549999997</v>
      </c>
      <c r="J18" s="200">
        <f>IF($F$2&gt;=J$2,Input!CS153,Input!CS33)</f>
        <v>48043515.219999999</v>
      </c>
      <c r="K18" s="200">
        <f>IF($F$2&gt;=K$2,Input!CT153,Input!CT33)</f>
        <v>41832314.119999997</v>
      </c>
      <c r="L18" s="200">
        <f>IF($F$2&gt;=L$2,Input!CU153,Input!CU33)</f>
        <v>46672895.180000007</v>
      </c>
      <c r="M18" s="200">
        <f>IF($F$2&gt;=M$2,Input!CV153,Input!CV33)</f>
        <v>44842665.109999999</v>
      </c>
      <c r="N18" s="200">
        <f>IF($F$2&gt;=N$2,Input!CW153,Input!CW33)</f>
        <v>41933548.03534171</v>
      </c>
      <c r="O18" s="200">
        <f>IF($F$2&gt;=O$2,Input!CX153,Input!CX33)</f>
        <v>40531458.918260142</v>
      </c>
      <c r="P18" s="200">
        <f>IF($F$2&gt;=P$2,Input!CY153,Input!CY33)</f>
        <v>40511174.093503267</v>
      </c>
      <c r="Q18" s="200">
        <f>IF($F$2&gt;=Q$2,Input!CZ153,Input!CZ33)</f>
        <v>40215872.883409701</v>
      </c>
      <c r="R18" s="200">
        <f>IF($F$2&gt;=R$2,Input!DA153,Input!DA33)</f>
        <v>40631397.093503296</v>
      </c>
      <c r="S18" s="200">
        <f>IF($F$2&gt;=S$2,Input!DB153,Input!DB33)</f>
        <v>40660936.093503296</v>
      </c>
      <c r="T18" s="200">
        <f>IF($F$2&gt;=T$2,Input!DC153,Input!DC33)</f>
        <v>45261988.976915903</v>
      </c>
      <c r="U18" s="367">
        <f>+SUM(I18:T18)</f>
        <v>513192303.27443731</v>
      </c>
      <c r="V18" s="368">
        <f>-U18+H18</f>
        <v>41207696.725562692</v>
      </c>
      <c r="W18" s="255">
        <f t="shared" ref="W18:W19" si="9">IFERROR(+V18/H18,"")</f>
        <v>7.4328457297191008E-2</v>
      </c>
      <c r="X18" s="187"/>
      <c r="Y18" s="254"/>
      <c r="Z18" s="202"/>
      <c r="AA18" s="202"/>
      <c r="AB18" s="202"/>
      <c r="AC18" t="s">
        <v>163</v>
      </c>
    </row>
    <row r="19" spans="1:29" ht="16.5" x14ac:dyDescent="0.3">
      <c r="A19" s="196"/>
      <c r="B19" s="197"/>
      <c r="C19" s="198"/>
      <c r="D19" s="198" t="s">
        <v>192</v>
      </c>
      <c r="E19" s="198"/>
      <c r="F19" s="198"/>
      <c r="G19" s="199">
        <v>2</v>
      </c>
      <c r="H19" s="212">
        <f>Input!Q34</f>
        <v>2500000</v>
      </c>
      <c r="I19" s="200">
        <f>IF($F$2&gt;=I$2,Input!CR154,Input!CR34)</f>
        <v>142056.56</v>
      </c>
      <c r="J19" s="200">
        <f>IF($F$2&gt;=J$2,Input!CS154,Input!CS34)</f>
        <v>19288.810000000001</v>
      </c>
      <c r="K19" s="200">
        <f>IF($F$2&gt;=K$2,Input!CT154,Input!CT34)</f>
        <v>103250.6</v>
      </c>
      <c r="L19" s="200">
        <f>IF($F$2&gt;=L$2,Input!CU154,Input!CU34)</f>
        <v>170934.27999999997</v>
      </c>
      <c r="M19" s="200">
        <f>IF($F$2&gt;=M$2,Input!CV154,Input!CV34)</f>
        <v>309047.62</v>
      </c>
      <c r="N19" s="200">
        <f>IF($F$2&gt;=N$2,Input!CW154,Input!CW34)</f>
        <v>1199614.0590476182</v>
      </c>
      <c r="O19" s="200">
        <f>IF($F$2&gt;=O$2,Input!CX154,Input!CX34)</f>
        <v>1095614.0590476193</v>
      </c>
      <c r="P19" s="200">
        <f>IF($F$2&gt;=P$2,Input!CY154,Input!CY34)</f>
        <v>2451280.7257142849</v>
      </c>
      <c r="Q19" s="200">
        <f>IF($F$2&gt;=Q$2,Input!CZ154,Input!CZ34)</f>
        <v>457280.72571428557</v>
      </c>
      <c r="R19" s="200">
        <f>IF($F$2&gt;=R$2,Input!DA154,Input!DA34)</f>
        <v>451280.72571428557</v>
      </c>
      <c r="S19" s="200">
        <f>IF($F$2&gt;=S$2,Input!DB154,Input!DB34)</f>
        <v>457280.72571428557</v>
      </c>
      <c r="T19" s="200">
        <f>IF($F$2&gt;=T$2,Input!DC154,Input!DC34)</f>
        <v>451280.72571428557</v>
      </c>
      <c r="U19" s="368">
        <f t="shared" ref="U19" si="10">+SUM(I19:T19)</f>
        <v>7308209.6166666653</v>
      </c>
      <c r="V19" s="368">
        <f>-U19+H19</f>
        <v>-4808209.6166666653</v>
      </c>
      <c r="W19" s="255">
        <f t="shared" si="9"/>
        <v>-1.9232838466666662</v>
      </c>
      <c r="X19" s="187"/>
      <c r="Y19" s="254"/>
      <c r="Z19" s="202"/>
      <c r="AA19" s="202"/>
      <c r="AB19" s="202"/>
      <c r="AC19" t="s">
        <v>163</v>
      </c>
    </row>
    <row r="20" spans="1:29" ht="16.5" x14ac:dyDescent="0.3">
      <c r="A20" s="196"/>
      <c r="B20" s="197"/>
      <c r="C20" s="198"/>
      <c r="D20" s="228" t="s">
        <v>193</v>
      </c>
      <c r="E20" s="198"/>
      <c r="F20" s="198"/>
      <c r="G20" s="199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371"/>
      <c r="V20" s="371"/>
      <c r="W20" s="255"/>
      <c r="X20" s="187"/>
      <c r="Y20" s="254"/>
      <c r="Z20" s="202"/>
      <c r="AA20" s="202"/>
      <c r="AB20" s="202"/>
      <c r="AC20" t="s">
        <v>163</v>
      </c>
    </row>
    <row r="21" spans="1:29" ht="16.5" x14ac:dyDescent="0.3">
      <c r="A21" s="196"/>
      <c r="B21" s="197"/>
      <c r="C21" s="198"/>
      <c r="D21" s="198"/>
      <c r="E21" s="198" t="s">
        <v>194</v>
      </c>
      <c r="F21" s="198"/>
      <c r="G21" s="199">
        <v>31</v>
      </c>
      <c r="H21" s="200">
        <f>Input!Q37</f>
        <v>6000000</v>
      </c>
      <c r="I21" s="200">
        <f>IF($F$2&gt;=I$2,Input!CR157,Input!CR37)</f>
        <v>332655.63</v>
      </c>
      <c r="J21" s="200">
        <f>IF($F$2&gt;=J$2,Input!CS157,Input!CS37)</f>
        <v>166273.04999999999</v>
      </c>
      <c r="K21" s="200">
        <f>IF($F$2&gt;=K$2,Input!CT157,Input!CT37)</f>
        <v>877080.84</v>
      </c>
      <c r="L21" s="200">
        <f>IF($F$2&gt;=L$2,Input!CU157,Input!CU37)</f>
        <v>454971.68000000005</v>
      </c>
      <c r="M21" s="200">
        <f>IF($F$2&gt;=M$2,Input!CV157,Input!CV37)</f>
        <v>847644.54</v>
      </c>
      <c r="N21" s="200">
        <f>IF($F$2&gt;=N$2,Input!CW157,Input!CW37)</f>
        <v>758746.6506975207</v>
      </c>
      <c r="O21" s="200">
        <f>IF($F$2&gt;=O$2,Input!CX157,Input!CX37)</f>
        <v>686592.6506975207</v>
      </c>
      <c r="P21" s="200">
        <f>IF($F$2&gt;=P$2,Input!CY157,Input!CY37)</f>
        <v>686592.6506975207</v>
      </c>
      <c r="Q21" s="200">
        <f>IF($F$2&gt;=Q$2,Input!CZ157,Input!CZ37)</f>
        <v>716592.6506975207</v>
      </c>
      <c r="R21" s="200">
        <f>IF($F$2&gt;=R$2,Input!DA157,Input!DA37)</f>
        <v>716592.6506975207</v>
      </c>
      <c r="S21" s="200">
        <f>IF($F$2&gt;=S$2,Input!DB157,Input!DB37)</f>
        <v>716592.6506975207</v>
      </c>
      <c r="T21" s="200">
        <f>IF($F$2&gt;=T$2,Input!DC157,Input!DC37)</f>
        <v>716592.6506975207</v>
      </c>
      <c r="U21" s="368">
        <f t="shared" ref="U21:U30" si="11">+SUM(I21:T21)</f>
        <v>7676928.2948826468</v>
      </c>
      <c r="V21" s="368">
        <f t="shared" ref="V21:V30" si="12">-U21+H21</f>
        <v>-1676928.2948826468</v>
      </c>
      <c r="W21" s="255">
        <f t="shared" ref="W21:W25" si="13">IFERROR(+V21/H21,"")</f>
        <v>-0.27948804914710779</v>
      </c>
      <c r="X21" s="187"/>
      <c r="Y21" s="254"/>
      <c r="Z21" s="202"/>
      <c r="AA21" s="202"/>
      <c r="AB21" s="202"/>
      <c r="AC21" t="s">
        <v>163</v>
      </c>
    </row>
    <row r="22" spans="1:29" ht="16.5" x14ac:dyDescent="0.3">
      <c r="A22" s="196"/>
      <c r="B22" s="197"/>
      <c r="C22" s="198"/>
      <c r="D22" s="198"/>
      <c r="E22" s="198" t="s">
        <v>195</v>
      </c>
      <c r="F22" s="198"/>
      <c r="G22" s="199">
        <v>32</v>
      </c>
      <c r="H22" s="200">
        <f>Input!Q38</f>
        <v>6000000</v>
      </c>
      <c r="I22" s="200">
        <f>IF($F$2&gt;=I$2,Input!CR158,Input!CR38)</f>
        <v>357472.18</v>
      </c>
      <c r="J22" s="200">
        <f>IF($F$2&gt;=J$2,Input!CS158,Input!CS38)</f>
        <v>368215.33</v>
      </c>
      <c r="K22" s="200">
        <f>IF($F$2&gt;=K$2,Input!CT158,Input!CT38)</f>
        <v>1205457.32</v>
      </c>
      <c r="L22" s="200">
        <f>IF($F$2&gt;=L$2,Input!CU158,Input!CU38)</f>
        <v>313196.95</v>
      </c>
      <c r="M22" s="200">
        <f>IF($F$2&gt;=M$2,Input!CV158,Input!CV38)</f>
        <v>93843.07</v>
      </c>
      <c r="N22" s="200">
        <f>IF($F$2&gt;=N$2,Input!CW158,Input!CW38)</f>
        <v>1151497.6795555556</v>
      </c>
      <c r="O22" s="200">
        <f>IF($F$2&gt;=O$2,Input!CX158,Input!CX38)</f>
        <v>1169561.6795555556</v>
      </c>
      <c r="P22" s="200">
        <f>IF($F$2&gt;=P$2,Input!CY158,Input!CY38)</f>
        <v>1169561.6795555556</v>
      </c>
      <c r="Q22" s="200">
        <f>IF($F$2&gt;=Q$2,Input!CZ158,Input!CZ38)</f>
        <v>1204651.6795555556</v>
      </c>
      <c r="R22" s="200">
        <f>IF($F$2&gt;=R$2,Input!DA158,Input!DA38)</f>
        <v>1204651.6795555556</v>
      </c>
      <c r="S22" s="200">
        <f>IF($F$2&gt;=S$2,Input!DB158,Input!DB38)</f>
        <v>1204651.6795555556</v>
      </c>
      <c r="T22" s="200">
        <f>IF($F$2&gt;=T$2,Input!DC158,Input!DC38)</f>
        <v>1204651.6795555556</v>
      </c>
      <c r="U22" s="368">
        <f t="shared" si="11"/>
        <v>10647412.60688889</v>
      </c>
      <c r="V22" s="368">
        <f t="shared" si="12"/>
        <v>-4647412.6068888903</v>
      </c>
      <c r="W22" s="255">
        <f t="shared" si="13"/>
        <v>-0.7745687678148151</v>
      </c>
      <c r="X22" s="187"/>
      <c r="Y22" s="254"/>
      <c r="Z22" s="202"/>
      <c r="AA22" s="202"/>
      <c r="AB22" s="202"/>
      <c r="AC22" t="s">
        <v>163</v>
      </c>
    </row>
    <row r="23" spans="1:29" ht="16.5" x14ac:dyDescent="0.3">
      <c r="A23" s="196"/>
      <c r="B23" s="197"/>
      <c r="C23" s="198"/>
      <c r="D23" s="198"/>
      <c r="E23" s="198" t="s">
        <v>196</v>
      </c>
      <c r="F23" s="198"/>
      <c r="G23" s="199">
        <v>33</v>
      </c>
      <c r="H23" s="200">
        <f>Input!Q39</f>
        <v>60000000</v>
      </c>
      <c r="I23" s="200">
        <f>IF($F$2&gt;=I$2,Input!CR159,Input!CR39)</f>
        <v>4239419.29</v>
      </c>
      <c r="J23" s="200">
        <f>IF($F$2&gt;=J$2,Input!CS159,Input!CS39)</f>
        <v>5712397.2000000002</v>
      </c>
      <c r="K23" s="200">
        <f>IF($F$2&gt;=K$2,Input!CT159,Input!CT39)</f>
        <v>7517143.1399999997</v>
      </c>
      <c r="L23" s="200">
        <f>IF($F$2&gt;=L$2,Input!CU159,Input!CU39)</f>
        <v>4376081.1900000004</v>
      </c>
      <c r="M23" s="200">
        <f>IF($F$2&gt;=M$2,Input!CV159,Input!CV39)</f>
        <v>4683618.9399999995</v>
      </c>
      <c r="N23" s="200">
        <f>IF($F$2&gt;=N$2,Input!CW159,Input!CW39)</f>
        <v>7534915.6240511145</v>
      </c>
      <c r="O23" s="200">
        <f>IF($F$2&gt;=O$2,Input!CX159,Input!CX39)</f>
        <v>7956259.6240511127</v>
      </c>
      <c r="P23" s="200">
        <f>IF($F$2&gt;=P$2,Input!CY159,Input!CY39)</f>
        <v>7956259.6240511127</v>
      </c>
      <c r="Q23" s="200">
        <f>IF($F$2&gt;=Q$2,Input!CZ159,Input!CZ39)</f>
        <v>10446019.624051115</v>
      </c>
      <c r="R23" s="200">
        <f>IF($F$2&gt;=R$2,Input!DA159,Input!DA39)</f>
        <v>10446019.624051115</v>
      </c>
      <c r="S23" s="200">
        <f>IF($F$2&gt;=S$2,Input!DB159,Input!DB39)</f>
        <v>10446019.624051115</v>
      </c>
      <c r="T23" s="200">
        <f>IF($F$2&gt;=T$2,Input!DC159,Input!DC39)</f>
        <v>10446019.624051115</v>
      </c>
      <c r="U23" s="368">
        <f t="shared" si="11"/>
        <v>91760173.128357783</v>
      </c>
      <c r="V23" s="368">
        <f t="shared" si="12"/>
        <v>-31760173.128357783</v>
      </c>
      <c r="W23" s="255">
        <f t="shared" si="13"/>
        <v>-0.52933621880596304</v>
      </c>
      <c r="X23" s="187"/>
      <c r="Y23" s="254"/>
      <c r="Z23" s="202"/>
      <c r="AA23" s="202"/>
      <c r="AB23" s="202"/>
      <c r="AC23" t="s">
        <v>163</v>
      </c>
    </row>
    <row r="24" spans="1:29" ht="16.5" x14ac:dyDescent="0.3">
      <c r="A24" s="196"/>
      <c r="B24" s="197"/>
      <c r="C24" s="198"/>
      <c r="D24" s="198"/>
      <c r="E24" s="198" t="s">
        <v>197</v>
      </c>
      <c r="F24" s="198"/>
      <c r="G24" s="199">
        <v>34</v>
      </c>
      <c r="H24" s="200">
        <f>Input!Q40</f>
        <v>18000000</v>
      </c>
      <c r="I24" s="200">
        <f>IF($F$2&gt;=I$2,Input!CR160,Input!CR40)</f>
        <v>859085.24</v>
      </c>
      <c r="J24" s="200">
        <f>IF($F$2&gt;=J$2,Input!CS160,Input!CS40)</f>
        <v>1677845.02</v>
      </c>
      <c r="K24" s="200">
        <f>IF($F$2&gt;=K$2,Input!CT160,Input!CT40)</f>
        <v>2299173.7399999998</v>
      </c>
      <c r="L24" s="200">
        <f>IF($F$2&gt;=L$2,Input!CU160,Input!CU40)</f>
        <v>1496433.65</v>
      </c>
      <c r="M24" s="200">
        <f>IF($F$2&gt;=M$2,Input!CV160,Input!CV40)</f>
        <v>1930504.28</v>
      </c>
      <c r="N24" s="200">
        <f>IF($F$2&gt;=N$2,Input!CW160,Input!CW40)</f>
        <v>2456846.7000000002</v>
      </c>
      <c r="O24" s="200">
        <f>IF($F$2&gt;=O$2,Input!CX160,Input!CX40)</f>
        <v>2837192.7</v>
      </c>
      <c r="P24" s="200">
        <f>IF($F$2&gt;=P$2,Input!CY160,Input!CY40)</f>
        <v>2837192.7</v>
      </c>
      <c r="Q24" s="200">
        <f>IF($F$2&gt;=Q$2,Input!CZ160,Input!CZ40)</f>
        <v>2957250.52</v>
      </c>
      <c r="R24" s="200">
        <f>IF($F$2&gt;=R$2,Input!DA160,Input!DA40)</f>
        <v>2957250.52</v>
      </c>
      <c r="S24" s="200">
        <f>IF($F$2&gt;=S$2,Input!DB160,Input!DB40)</f>
        <v>2957250.52</v>
      </c>
      <c r="T24" s="200">
        <f>IF($F$2&gt;=T$2,Input!DC160,Input!DC40)</f>
        <v>2957250.52</v>
      </c>
      <c r="U24" s="368">
        <f t="shared" si="11"/>
        <v>28223276.109999999</v>
      </c>
      <c r="V24" s="368">
        <f t="shared" si="12"/>
        <v>-10223276.109999999</v>
      </c>
      <c r="W24" s="255">
        <f t="shared" si="13"/>
        <v>-0.5679597838888889</v>
      </c>
      <c r="X24" s="187"/>
      <c r="Y24" s="254"/>
      <c r="Z24" s="202"/>
      <c r="AA24" s="202"/>
      <c r="AB24" s="202"/>
      <c r="AC24" t="s">
        <v>163</v>
      </c>
    </row>
    <row r="25" spans="1:29" ht="16.5" x14ac:dyDescent="0.3">
      <c r="A25" s="196"/>
      <c r="B25" s="197"/>
      <c r="C25" s="198"/>
      <c r="D25" s="198"/>
      <c r="E25" s="198" t="s">
        <v>198</v>
      </c>
      <c r="F25" s="198"/>
      <c r="G25" s="199">
        <v>35</v>
      </c>
      <c r="H25" s="200">
        <f>Input!Q41</f>
        <v>2400000</v>
      </c>
      <c r="I25" s="200">
        <f>IF($F$2&gt;=I$2,Input!CR161,Input!CR41)</f>
        <v>-925274.89</v>
      </c>
      <c r="J25" s="200">
        <f>IF($F$2&gt;=J$2,Input!CS161,Input!CS41)</f>
        <v>-913758.12999999989</v>
      </c>
      <c r="K25" s="200">
        <f>IF($F$2&gt;=K$2,Input!CT161,Input!CT41)</f>
        <v>1334352.7</v>
      </c>
      <c r="L25" s="200">
        <f>IF($F$2&gt;=L$2,Input!CU161,Input!CU41)</f>
        <v>-170627.50999999995</v>
      </c>
      <c r="M25" s="200">
        <f>IF($F$2&gt;=M$2,Input!CV161,Input!CV41)</f>
        <v>91749.77</v>
      </c>
      <c r="N25" s="200">
        <f>IF($F$2&gt;=N$2,Input!CW161,Input!CW41)</f>
        <v>200000</v>
      </c>
      <c r="O25" s="200">
        <f>IF($F$2&gt;=O$2,Input!CX161,Input!CX41)</f>
        <v>200000</v>
      </c>
      <c r="P25" s="200">
        <f>IF($F$2&gt;=P$2,Input!CY161,Input!CY41)</f>
        <v>200000</v>
      </c>
      <c r="Q25" s="200">
        <f>IF($F$2&gt;=Q$2,Input!CZ161,Input!CZ41)</f>
        <v>200000</v>
      </c>
      <c r="R25" s="200">
        <f>IF($F$2&gt;=R$2,Input!DA161,Input!DA41)</f>
        <v>200000</v>
      </c>
      <c r="S25" s="200">
        <f>IF($F$2&gt;=S$2,Input!DB161,Input!DB41)</f>
        <v>200000</v>
      </c>
      <c r="T25" s="200">
        <f>IF($F$2&gt;=T$2,Input!DC161,Input!DC41)</f>
        <v>200000</v>
      </c>
      <c r="U25" s="368">
        <f t="shared" si="11"/>
        <v>816441.94</v>
      </c>
      <c r="V25" s="368">
        <f t="shared" si="12"/>
        <v>1583558.06</v>
      </c>
      <c r="W25" s="255">
        <f t="shared" si="13"/>
        <v>0.65981585833333334</v>
      </c>
      <c r="X25" s="187"/>
      <c r="Y25" s="254"/>
      <c r="Z25" s="202"/>
      <c r="AA25" s="202"/>
      <c r="AB25" s="202"/>
      <c r="AC25" t="s">
        <v>163</v>
      </c>
    </row>
    <row r="26" spans="1:29" ht="16.5" x14ac:dyDescent="0.3">
      <c r="A26" s="205"/>
      <c r="B26" s="206"/>
      <c r="C26" s="198"/>
      <c r="D26" s="198"/>
      <c r="E26" s="198" t="s">
        <v>199</v>
      </c>
      <c r="F26" s="198"/>
      <c r="G26" s="199">
        <v>36</v>
      </c>
      <c r="H26" s="200">
        <f>Input!Q42</f>
        <v>9700000</v>
      </c>
      <c r="I26" s="200">
        <f>IF($F$2&gt;=I$2,Input!CR162,Input!CR42)</f>
        <v>301352.11</v>
      </c>
      <c r="J26" s="200">
        <f>IF($F$2&gt;=J$2,Input!CS162,Input!CS42)</f>
        <v>405675.66000000003</v>
      </c>
      <c r="K26" s="200">
        <f>IF($F$2&gt;=K$2,Input!CT162,Input!CT42)</f>
        <v>262116.66</v>
      </c>
      <c r="L26" s="200">
        <f>IF($F$2&gt;=L$2,Input!CU162,Input!CU42)</f>
        <v>137066.26</v>
      </c>
      <c r="M26" s="200">
        <f>IF($F$2&gt;=M$2,Input!CV162,Input!CV42)</f>
        <v>137971.71000000002</v>
      </c>
      <c r="N26" s="200">
        <f>IF($F$2&gt;=N$2,Input!CW162,Input!CW42)</f>
        <v>1474627.2727272727</v>
      </c>
      <c r="O26" s="200">
        <f>IF($F$2&gt;=O$2,Input!CX162,Input!CX42)</f>
        <v>1095727.2727272727</v>
      </c>
      <c r="P26" s="200">
        <f>IF($F$2&gt;=P$2,Input!CY162,Input!CY42)</f>
        <v>1095727.2727272727</v>
      </c>
      <c r="Q26" s="200">
        <f>IF($F$2&gt;=Q$2,Input!CZ162,Input!CZ42)</f>
        <v>918790.27272727271</v>
      </c>
      <c r="R26" s="200">
        <f>IF($F$2&gt;=R$2,Input!DA162,Input!DA42)</f>
        <v>918790.27272727271</v>
      </c>
      <c r="S26" s="200">
        <f>IF($F$2&gt;=S$2,Input!DB162,Input!DB42)</f>
        <v>918790.27272727271</v>
      </c>
      <c r="T26" s="200">
        <f>IF($F$2&gt;=T$2,Input!DC162,Input!DC42)</f>
        <v>918790.27272727271</v>
      </c>
      <c r="U26" s="368">
        <f t="shared" si="11"/>
        <v>8585425.3090909086</v>
      </c>
      <c r="V26" s="368">
        <f t="shared" si="12"/>
        <v>1114574.6909090914</v>
      </c>
      <c r="W26" s="255">
        <f t="shared" ref="W26" si="14">IFERROR(V26/H26,"")</f>
        <v>0.11490460731021561</v>
      </c>
      <c r="X26" s="187"/>
      <c r="Y26" s="254"/>
      <c r="Z26" s="210"/>
      <c r="AA26" s="210"/>
      <c r="AB26" s="210"/>
      <c r="AC26" t="s">
        <v>163</v>
      </c>
    </row>
    <row r="27" spans="1:29" ht="16.5" x14ac:dyDescent="0.3">
      <c r="A27" s="196"/>
      <c r="B27" s="197"/>
      <c r="C27" s="198"/>
      <c r="D27" s="198"/>
      <c r="E27" s="198" t="s">
        <v>457</v>
      </c>
      <c r="F27" s="198"/>
      <c r="G27" s="199">
        <v>37</v>
      </c>
      <c r="H27" s="200">
        <f>Input!Q43</f>
        <v>4000000</v>
      </c>
      <c r="I27" s="200">
        <f>IF($F$2&gt;=I$2,Input!CR163,Input!CR43)</f>
        <v>486316.5199999999</v>
      </c>
      <c r="J27" s="200">
        <f>IF($F$2&gt;=J$2,Input!CS163,Input!CS43)</f>
        <v>435590.48999999987</v>
      </c>
      <c r="K27" s="200">
        <f>IF($F$2&gt;=K$2,Input!CT163,Input!CT43)</f>
        <v>820911.0199999999</v>
      </c>
      <c r="L27" s="200">
        <f>IF($F$2&gt;=L$2,Input!CU163,Input!CU43)</f>
        <v>532507.37000000011</v>
      </c>
      <c r="M27" s="200">
        <f>IF($F$2&gt;=M$2,Input!CV163,Input!CV43)</f>
        <v>631201.65999999992</v>
      </c>
      <c r="N27" s="200">
        <f>IF($F$2&gt;=N$2,Input!CW163,Input!CW43)</f>
        <v>753958.06444444438</v>
      </c>
      <c r="O27" s="200">
        <f>IF($F$2&gt;=O$2,Input!CX163,Input!CX43)</f>
        <v>843958.06444444438</v>
      </c>
      <c r="P27" s="200">
        <f>IF($F$2&gt;=P$2,Input!CY163,Input!CY43)</f>
        <v>843958.06444444438</v>
      </c>
      <c r="Q27" s="200">
        <f>IF($F$2&gt;=Q$2,Input!CZ163,Input!CZ43)</f>
        <v>842958.06444444438</v>
      </c>
      <c r="R27" s="200">
        <f>IF($F$2&gt;=R$2,Input!DA163,Input!DA43)</f>
        <v>842958.06444444438</v>
      </c>
      <c r="S27" s="200">
        <f>IF($F$2&gt;=S$2,Input!DB163,Input!DB43)</f>
        <v>842958.06444444438</v>
      </c>
      <c r="T27" s="200">
        <f>IF($F$2&gt;=T$2,Input!DC163,Input!DC43)</f>
        <v>842958.06444444438</v>
      </c>
      <c r="U27" s="368">
        <f t="shared" si="11"/>
        <v>8720233.5111111086</v>
      </c>
      <c r="V27" s="368">
        <f t="shared" si="12"/>
        <v>-4720233.5111111086</v>
      </c>
      <c r="W27" s="255">
        <f t="shared" ref="W27:W30" si="15">IFERROR(+V27/H27,"")</f>
        <v>-1.1800583777777771</v>
      </c>
      <c r="X27" s="187"/>
      <c r="Y27" s="254"/>
      <c r="Z27" s="202"/>
      <c r="AA27" s="202"/>
      <c r="AB27" s="202"/>
      <c r="AC27" t="s">
        <v>163</v>
      </c>
    </row>
    <row r="28" spans="1:29" ht="16.5" x14ac:dyDescent="0.3">
      <c r="A28" s="196"/>
      <c r="B28" s="197"/>
      <c r="C28" s="198"/>
      <c r="D28" s="198"/>
      <c r="E28" s="198" t="s">
        <v>201</v>
      </c>
      <c r="F28" s="198"/>
      <c r="G28" s="199">
        <v>38</v>
      </c>
      <c r="H28" s="200">
        <f>Input!Q44</f>
        <v>12000000</v>
      </c>
      <c r="I28" s="200">
        <f>IF($F$2&gt;=I$2,Input!CR164,Input!CR44)</f>
        <v>280903.96999999997</v>
      </c>
      <c r="J28" s="200">
        <f>IF($F$2&gt;=J$2,Input!CS164,Input!CS44)</f>
        <v>331159.81</v>
      </c>
      <c r="K28" s="200">
        <f>IF($F$2&gt;=K$2,Input!CT164,Input!CT44)</f>
        <v>480721.66000000003</v>
      </c>
      <c r="L28" s="200">
        <f>IF($F$2&gt;=L$2,Input!CU164,Input!CU44)</f>
        <v>705754.57000000007</v>
      </c>
      <c r="M28" s="200">
        <f>IF($F$2&gt;=M$2,Input!CV164,Input!CV44)</f>
        <v>235687.56999999998</v>
      </c>
      <c r="N28" s="200">
        <f>IF($F$2&gt;=N$2,Input!CW164,Input!CW44)</f>
        <v>300000</v>
      </c>
      <c r="O28" s="200">
        <f>IF($F$2&gt;=O$2,Input!CX164,Input!CX44)</f>
        <v>300000</v>
      </c>
      <c r="P28" s="200">
        <f>IF($F$2&gt;=P$2,Input!CY164,Input!CY44)</f>
        <v>300000</v>
      </c>
      <c r="Q28" s="200">
        <f>IF($F$2&gt;=Q$2,Input!CZ164,Input!CZ44)</f>
        <v>300000</v>
      </c>
      <c r="R28" s="200">
        <f>IF($F$2&gt;=R$2,Input!DA164,Input!DA44)</f>
        <v>300000</v>
      </c>
      <c r="S28" s="200">
        <f>IF($F$2&gt;=S$2,Input!DB164,Input!DB44)</f>
        <v>300000</v>
      </c>
      <c r="T28" s="200">
        <f>IF($F$2&gt;=T$2,Input!DC164,Input!DC44)</f>
        <v>300000</v>
      </c>
      <c r="U28" s="368">
        <f t="shared" si="11"/>
        <v>4134227.58</v>
      </c>
      <c r="V28" s="368">
        <f t="shared" si="12"/>
        <v>7865772.4199999999</v>
      </c>
      <c r="W28" s="255">
        <f t="shared" si="15"/>
        <v>0.65548103499999999</v>
      </c>
      <c r="X28" s="187"/>
      <c r="Y28" s="254"/>
      <c r="Z28" s="202"/>
      <c r="AA28" s="202"/>
      <c r="AB28" s="202"/>
      <c r="AC28" t="s">
        <v>163</v>
      </c>
    </row>
    <row r="29" spans="1:29" ht="16.5" x14ac:dyDescent="0.3">
      <c r="A29" s="196"/>
      <c r="B29" s="197"/>
      <c r="C29" s="198"/>
      <c r="D29" s="198"/>
      <c r="E29" s="198" t="s">
        <v>202</v>
      </c>
      <c r="F29" s="198"/>
      <c r="G29" s="199">
        <v>39</v>
      </c>
      <c r="H29" s="200">
        <f>Input!Q45</f>
        <v>35000000</v>
      </c>
      <c r="I29" s="200">
        <f>IF($F$2&gt;=I$2,Input!CR165,Input!CR45)</f>
        <v>1210091.5199999998</v>
      </c>
      <c r="J29" s="200">
        <f>IF($F$2&gt;=J$2,Input!CS165,Input!CS45)</f>
        <v>297850.90000000002</v>
      </c>
      <c r="K29" s="200">
        <f>IF($F$2&gt;=K$2,Input!CT165,Input!CT45)</f>
        <v>81975.899999999849</v>
      </c>
      <c r="L29" s="200">
        <f>IF($F$2&gt;=L$2,Input!CU165,Input!CU45)</f>
        <v>1819161.5100000002</v>
      </c>
      <c r="M29" s="200">
        <f>IF($F$2&gt;=M$2,Input!CV165,Input!CV45)</f>
        <v>-316771.73999999993</v>
      </c>
      <c r="N29" s="200">
        <f>IF($F$2&gt;=N$2,Input!CW165,Input!CW45)</f>
        <v>4877996.9128888892</v>
      </c>
      <c r="O29" s="200">
        <f>IF($F$2&gt;=O$2,Input!CX165,Input!CX45)</f>
        <v>4330510.9128888892</v>
      </c>
      <c r="P29" s="200">
        <f>IF($F$2&gt;=P$2,Input!CY165,Input!CY45)</f>
        <v>4911000</v>
      </c>
      <c r="Q29" s="200">
        <f>IF($F$2&gt;=Q$2,Input!CZ165,Input!CZ45)</f>
        <v>4590214.9128888892</v>
      </c>
      <c r="R29" s="200">
        <f>IF($F$2&gt;=R$2,Input!DA165,Input!DA45)</f>
        <v>4590214.9128888892</v>
      </c>
      <c r="S29" s="200">
        <f>IF($F$2&gt;=S$2,Input!DB165,Input!DB45)</f>
        <v>4590214.9128888892</v>
      </c>
      <c r="T29" s="200">
        <f>IF($F$2&gt;=T$2,Input!DC165,Input!DC45)</f>
        <v>4590214.9128888892</v>
      </c>
      <c r="U29" s="368">
        <f t="shared" si="11"/>
        <v>35572675.567333333</v>
      </c>
      <c r="V29" s="368">
        <f t="shared" si="12"/>
        <v>-572675.56733333319</v>
      </c>
      <c r="W29" s="255">
        <f t="shared" si="15"/>
        <v>-1.6362159066666663E-2</v>
      </c>
      <c r="X29" s="187"/>
      <c r="Y29" s="254"/>
      <c r="Z29" s="202"/>
      <c r="AA29" s="202"/>
      <c r="AB29" s="202"/>
      <c r="AC29" t="s">
        <v>163</v>
      </c>
    </row>
    <row r="30" spans="1:29" ht="16.5" x14ac:dyDescent="0.3">
      <c r="A30" s="196"/>
      <c r="B30" s="197"/>
      <c r="C30" s="198"/>
      <c r="D30" s="207" t="s">
        <v>310</v>
      </c>
      <c r="E30" s="198"/>
      <c r="F30" s="198"/>
      <c r="G30" s="199">
        <v>3</v>
      </c>
      <c r="H30" s="208">
        <f>SUM(H21:H29)</f>
        <v>153100000</v>
      </c>
      <c r="I30" s="208">
        <f>SUM(I21:I29)</f>
        <v>7142021.5699999994</v>
      </c>
      <c r="J30" s="208">
        <f t="shared" ref="J30:T30" si="16">SUM(J21:J29)</f>
        <v>8481249.3300000001</v>
      </c>
      <c r="K30" s="208">
        <f t="shared" si="16"/>
        <v>14878932.98</v>
      </c>
      <c r="L30" s="208">
        <f t="shared" si="16"/>
        <v>9664545.6700000018</v>
      </c>
      <c r="M30" s="208">
        <f t="shared" si="16"/>
        <v>8335449.7999999989</v>
      </c>
      <c r="N30" s="208">
        <f t="shared" si="16"/>
        <v>19508588.904364798</v>
      </c>
      <c r="O30" s="208">
        <f t="shared" si="16"/>
        <v>19419802.904364794</v>
      </c>
      <c r="P30" s="208">
        <f t="shared" si="16"/>
        <v>20000291.991475906</v>
      </c>
      <c r="Q30" s="208">
        <f t="shared" si="16"/>
        <v>22176477.724364795</v>
      </c>
      <c r="R30" s="208">
        <f t="shared" si="16"/>
        <v>22176477.724364795</v>
      </c>
      <c r="S30" s="208">
        <f t="shared" si="16"/>
        <v>22176477.724364795</v>
      </c>
      <c r="T30" s="208">
        <f t="shared" si="16"/>
        <v>22176477.724364795</v>
      </c>
      <c r="U30" s="370">
        <f t="shared" si="11"/>
        <v>196136794.04766464</v>
      </c>
      <c r="V30" s="370">
        <f t="shared" si="12"/>
        <v>-43036794.047664642</v>
      </c>
      <c r="W30" s="337">
        <f t="shared" si="15"/>
        <v>-0.28110250847592844</v>
      </c>
      <c r="X30" s="257"/>
      <c r="Y30" s="254"/>
      <c r="Z30" s="202"/>
      <c r="AA30" s="202"/>
      <c r="AB30" s="202"/>
      <c r="AC30" t="s">
        <v>163</v>
      </c>
    </row>
    <row r="31" spans="1:29" ht="16.5" x14ac:dyDescent="0.3">
      <c r="A31" s="196"/>
      <c r="B31" s="197"/>
      <c r="C31" s="198"/>
      <c r="D31" s="207"/>
      <c r="E31" s="198"/>
      <c r="F31" s="198"/>
      <c r="G31" s="199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371"/>
      <c r="V31" s="371"/>
      <c r="W31" s="255"/>
      <c r="X31" s="187"/>
      <c r="Y31" s="254"/>
      <c r="Z31" s="202"/>
      <c r="AA31" s="202"/>
      <c r="AB31" s="202"/>
      <c r="AC31" t="s">
        <v>163</v>
      </c>
    </row>
    <row r="32" spans="1:29" ht="16.5" x14ac:dyDescent="0.3">
      <c r="A32" s="196"/>
      <c r="B32" s="197"/>
      <c r="C32" s="198"/>
      <c r="D32" s="228" t="s">
        <v>311</v>
      </c>
      <c r="E32" s="198"/>
      <c r="F32" s="198"/>
      <c r="G32" s="199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371"/>
      <c r="V32" s="371"/>
      <c r="W32" s="255"/>
      <c r="X32" s="187"/>
      <c r="Y32" s="254"/>
      <c r="Z32" s="202"/>
      <c r="AA32" s="202"/>
      <c r="AB32" s="202"/>
      <c r="AC32" t="s">
        <v>163</v>
      </c>
    </row>
    <row r="33" spans="1:29" ht="16.5" x14ac:dyDescent="0.3">
      <c r="A33" s="205"/>
      <c r="B33" s="206"/>
      <c r="C33" s="198"/>
      <c r="D33" s="198"/>
      <c r="E33" s="198" t="s">
        <v>238</v>
      </c>
      <c r="F33" s="198"/>
      <c r="G33" s="199">
        <v>51</v>
      </c>
      <c r="H33" s="200">
        <f>Input!Q51</f>
        <v>0</v>
      </c>
      <c r="I33" s="200">
        <f>IF($F$2&gt;=I$2,Input!CR171,Input!CR51)</f>
        <v>0</v>
      </c>
      <c r="J33" s="200">
        <f>IF($F$2&gt;=J$2,Input!CS171,Input!CS51)</f>
        <v>0</v>
      </c>
      <c r="K33" s="200">
        <f>IF($F$2&gt;=K$2,Input!CT171,Input!CT51)</f>
        <v>0</v>
      </c>
      <c r="L33" s="200">
        <f>IF($F$2&gt;=L$2,Input!CU171,Input!CU51)</f>
        <v>0</v>
      </c>
      <c r="M33" s="200">
        <f>IF($F$2&gt;=M$2,Input!CV171,Input!CV51)</f>
        <v>0</v>
      </c>
      <c r="N33" s="200">
        <f>IF($F$2&gt;=N$2,Input!CW171,Input!CW51)</f>
        <v>0</v>
      </c>
      <c r="O33" s="200">
        <f>IF($F$2&gt;=O$2,Input!CX171,Input!CX51)</f>
        <v>0</v>
      </c>
      <c r="P33" s="200">
        <f>IF($F$2&gt;=P$2,Input!CY171,Input!CY51)</f>
        <v>0</v>
      </c>
      <c r="Q33" s="200">
        <f>IF($F$2&gt;=Q$2,Input!CZ171,Input!CZ51)</f>
        <v>0</v>
      </c>
      <c r="R33" s="200">
        <f>IF($F$2&gt;=R$2,Input!DA171,Input!DA51)</f>
        <v>0</v>
      </c>
      <c r="S33" s="200">
        <f>IF($F$2&gt;=S$2,Input!DB171,Input!DB51)</f>
        <v>0</v>
      </c>
      <c r="T33" s="200">
        <f>IF($F$2&gt;=T$2,Input!DC171,Input!DC51)</f>
        <v>0</v>
      </c>
      <c r="U33" s="368">
        <f t="shared" ref="U33:U36" si="17">+SUM(I33:T33)</f>
        <v>0</v>
      </c>
      <c r="V33" s="368">
        <f>-U33+H33</f>
        <v>0</v>
      </c>
      <c r="W33" s="255" t="str">
        <f t="shared" ref="W33:W36" si="18">IFERROR(+V33/H33,"")</f>
        <v/>
      </c>
      <c r="X33" s="187"/>
      <c r="Y33" s="254"/>
      <c r="Z33" s="210"/>
      <c r="AA33" s="210"/>
      <c r="AB33" s="210"/>
      <c r="AC33" t="s">
        <v>163</v>
      </c>
    </row>
    <row r="34" spans="1:29" ht="16.5" x14ac:dyDescent="0.3">
      <c r="A34" s="196"/>
      <c r="B34" s="197"/>
      <c r="C34" s="198"/>
      <c r="D34" s="198"/>
      <c r="E34" s="198" t="s">
        <v>220</v>
      </c>
      <c r="F34" s="198"/>
      <c r="G34" s="199" t="s">
        <v>219</v>
      </c>
      <c r="H34" s="200">
        <f>Input!Q57</f>
        <v>0</v>
      </c>
      <c r="I34" s="200">
        <f>IF($F$2&gt;=I$2,Input!CR177,Input!CR57)</f>
        <v>0</v>
      </c>
      <c r="J34" s="200">
        <f>IF($F$2&gt;=J$2,Input!CS177,Input!CS57)</f>
        <v>0</v>
      </c>
      <c r="K34" s="200">
        <f>IF($F$2&gt;=K$2,Input!CT177,Input!CT57)</f>
        <v>0</v>
      </c>
      <c r="L34" s="200">
        <f>IF($F$2&gt;=L$2,Input!CU177,Input!CU57)</f>
        <v>0</v>
      </c>
      <c r="M34" s="200">
        <f>IF($F$2&gt;=M$2,Input!CV177,Input!CV57)</f>
        <v>0</v>
      </c>
      <c r="N34" s="200">
        <f>IF($F$2&gt;=N$2,Input!CW177,Input!CW57)</f>
        <v>0</v>
      </c>
      <c r="O34" s="200">
        <f>IF($F$2&gt;=O$2,Input!CX177,Input!CX57)</f>
        <v>0</v>
      </c>
      <c r="P34" s="200">
        <f>IF($F$2&gt;=P$2,Input!CY177,Input!CY57)</f>
        <v>0</v>
      </c>
      <c r="Q34" s="200">
        <f>IF($F$2&gt;=Q$2,Input!CZ177,Input!CZ57)</f>
        <v>0</v>
      </c>
      <c r="R34" s="200">
        <f>IF($F$2&gt;=R$2,Input!DA177,Input!DA57)</f>
        <v>0</v>
      </c>
      <c r="S34" s="200">
        <f>IF($F$2&gt;=S$2,Input!DB177,Input!DB57)</f>
        <v>0</v>
      </c>
      <c r="T34" s="200">
        <f>IF($F$2&gt;=T$2,Input!DC177,Input!DC57)</f>
        <v>0</v>
      </c>
      <c r="U34" s="368">
        <f t="shared" si="17"/>
        <v>0</v>
      </c>
      <c r="V34" s="368">
        <f>-U34+H34</f>
        <v>0</v>
      </c>
      <c r="W34" s="255" t="str">
        <f t="shared" si="18"/>
        <v/>
      </c>
      <c r="X34" s="187"/>
      <c r="Y34" s="254"/>
      <c r="Z34" s="202"/>
      <c r="AA34" s="202"/>
      <c r="AB34" s="202"/>
      <c r="AC34" t="s">
        <v>163</v>
      </c>
    </row>
    <row r="35" spans="1:29" ht="16.5" x14ac:dyDescent="0.3">
      <c r="A35" s="196"/>
      <c r="B35" s="197"/>
      <c r="C35" s="198"/>
      <c r="D35" s="198"/>
      <c r="E35" s="198" t="s">
        <v>202</v>
      </c>
      <c r="F35" s="198"/>
      <c r="G35" s="199" t="s">
        <v>312</v>
      </c>
      <c r="H35" s="200">
        <f>Input!Q58</f>
        <v>0</v>
      </c>
      <c r="I35" s="200">
        <f>IF($F$2&gt;=I$2,Input!CR178,Input!CR58)</f>
        <v>0</v>
      </c>
      <c r="J35" s="200">
        <f>IF($F$2&gt;=J$2,Input!CS178,Input!CS58)</f>
        <v>0</v>
      </c>
      <c r="K35" s="200">
        <f>IF($F$2&gt;=K$2,Input!CT178,Input!CT58)</f>
        <v>0</v>
      </c>
      <c r="L35" s="200">
        <f>IF($F$2&gt;=L$2,Input!CU178,Input!CU58)</f>
        <v>0</v>
      </c>
      <c r="M35" s="200">
        <f>IF($F$2&gt;=M$2,Input!CV178,Input!CV58)</f>
        <v>0</v>
      </c>
      <c r="N35" s="200">
        <f>IF($F$2&gt;=N$2,Input!CW178,Input!CW58)</f>
        <v>0</v>
      </c>
      <c r="O35" s="200">
        <f>IF($F$2&gt;=O$2,Input!CX178,Input!CX58)</f>
        <v>0</v>
      </c>
      <c r="P35" s="200">
        <f>IF($F$2&gt;=P$2,Input!CY178,Input!CY58)</f>
        <v>0</v>
      </c>
      <c r="Q35" s="200">
        <f>IF($F$2&gt;=Q$2,Input!CZ178,Input!CZ58)</f>
        <v>0</v>
      </c>
      <c r="R35" s="200">
        <f>IF($F$2&gt;=R$2,Input!DA178,Input!DA58)</f>
        <v>0</v>
      </c>
      <c r="S35" s="200">
        <f>IF($F$2&gt;=S$2,Input!DB178,Input!DB58)</f>
        <v>0</v>
      </c>
      <c r="T35" s="200">
        <f>IF($F$2&gt;=T$2,Input!DC178,Input!DC58)</f>
        <v>0</v>
      </c>
      <c r="U35" s="368">
        <f t="shared" si="17"/>
        <v>0</v>
      </c>
      <c r="V35" s="368">
        <f>-U35+H35</f>
        <v>0</v>
      </c>
      <c r="W35" s="255" t="str">
        <f t="shared" si="18"/>
        <v/>
      </c>
      <c r="X35" s="187"/>
      <c r="Y35" s="254"/>
      <c r="Z35" s="202"/>
      <c r="AA35" s="202"/>
      <c r="AB35" s="202"/>
      <c r="AC35" t="s">
        <v>163</v>
      </c>
    </row>
    <row r="36" spans="1:29" ht="16.5" x14ac:dyDescent="0.3">
      <c r="A36" s="205"/>
      <c r="B36" s="206"/>
      <c r="C36" s="198"/>
      <c r="D36" s="207" t="s">
        <v>313</v>
      </c>
      <c r="E36" s="198"/>
      <c r="F36" s="198"/>
      <c r="G36" s="199"/>
      <c r="H36" s="208">
        <f>+SUM(H33:H35)</f>
        <v>0</v>
      </c>
      <c r="I36" s="208">
        <f>+SUM(I33:I35)</f>
        <v>0</v>
      </c>
      <c r="J36" s="208">
        <f t="shared" ref="J36:T36" si="19">+SUM(J33:J35)</f>
        <v>0</v>
      </c>
      <c r="K36" s="208">
        <f t="shared" si="19"/>
        <v>0</v>
      </c>
      <c r="L36" s="208">
        <f t="shared" si="19"/>
        <v>0</v>
      </c>
      <c r="M36" s="208">
        <f t="shared" si="19"/>
        <v>0</v>
      </c>
      <c r="N36" s="208">
        <f t="shared" si="19"/>
        <v>0</v>
      </c>
      <c r="O36" s="208">
        <f t="shared" si="19"/>
        <v>0</v>
      </c>
      <c r="P36" s="208">
        <f t="shared" si="19"/>
        <v>0</v>
      </c>
      <c r="Q36" s="208">
        <f t="shared" si="19"/>
        <v>0</v>
      </c>
      <c r="R36" s="208">
        <f t="shared" si="19"/>
        <v>0</v>
      </c>
      <c r="S36" s="208">
        <f t="shared" si="19"/>
        <v>0</v>
      </c>
      <c r="T36" s="208">
        <f t="shared" si="19"/>
        <v>0</v>
      </c>
      <c r="U36" s="370">
        <f t="shared" si="17"/>
        <v>0</v>
      </c>
      <c r="V36" s="370">
        <f>-U36+H36</f>
        <v>0</v>
      </c>
      <c r="W36" s="337" t="str">
        <f t="shared" si="18"/>
        <v/>
      </c>
      <c r="X36" s="187"/>
      <c r="Y36" s="254"/>
      <c r="Z36" s="210"/>
      <c r="AA36" s="210"/>
      <c r="AB36" s="210"/>
      <c r="AC36" t="s">
        <v>163</v>
      </c>
    </row>
    <row r="37" spans="1:29" ht="16.5" x14ac:dyDescent="0.3">
      <c r="A37" s="205"/>
      <c r="B37" s="206"/>
      <c r="C37" s="198"/>
      <c r="D37" s="198"/>
      <c r="E37" s="198"/>
      <c r="F37" s="198"/>
      <c r="G37" s="199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371"/>
      <c r="V37" s="371"/>
      <c r="W37" s="255"/>
      <c r="X37" s="187"/>
      <c r="Y37" s="254"/>
      <c r="Z37" s="210"/>
      <c r="AA37" s="210"/>
      <c r="AB37" s="210"/>
      <c r="AC37" t="s">
        <v>163</v>
      </c>
    </row>
    <row r="38" spans="1:29" ht="16.5" x14ac:dyDescent="0.3">
      <c r="A38" s="205"/>
      <c r="B38" s="206"/>
      <c r="C38" s="198"/>
      <c r="D38" s="198" t="s">
        <v>224</v>
      </c>
      <c r="E38" s="198"/>
      <c r="F38" s="198"/>
      <c r="G38" s="199" t="s">
        <v>314</v>
      </c>
      <c r="H38" s="200">
        <f>Input!Q61</f>
        <v>0</v>
      </c>
      <c r="I38" s="200">
        <f>IF($F$2&gt;=I$2,Input!CR181,Input!CR61)</f>
        <v>0</v>
      </c>
      <c r="J38" s="200">
        <f>IF($F$2&gt;=J$2,Input!CS181,Input!CS61)</f>
        <v>0</v>
      </c>
      <c r="K38" s="200">
        <f>IF($F$2&gt;=K$2,Input!CT181,Input!CT61)</f>
        <v>0</v>
      </c>
      <c r="L38" s="200">
        <f>IF($F$2&gt;=L$2,Input!CU181,Input!CU61)</f>
        <v>0</v>
      </c>
      <c r="M38" s="200">
        <f>IF($F$2&gt;=M$2,Input!CV181,Input!CV61)</f>
        <v>0</v>
      </c>
      <c r="N38" s="200">
        <f>IF($F$2&gt;=N$2,Input!CW181,Input!CW61)</f>
        <v>0</v>
      </c>
      <c r="O38" s="200">
        <f>IF($F$2&gt;=O$2,Input!CX181,Input!CX61)</f>
        <v>0</v>
      </c>
      <c r="P38" s="200">
        <f>IF($F$2&gt;=P$2,Input!CY181,Input!CY61)</f>
        <v>0</v>
      </c>
      <c r="Q38" s="200">
        <f>IF($F$2&gt;=Q$2,Input!CZ181,Input!CZ61)</f>
        <v>0</v>
      </c>
      <c r="R38" s="200">
        <f>IF($F$2&gt;=R$2,Input!DA181,Input!DA61)</f>
        <v>0</v>
      </c>
      <c r="S38" s="200">
        <f>IF($F$2&gt;=S$2,Input!DB181,Input!DB61)</f>
        <v>0</v>
      </c>
      <c r="T38" s="200">
        <f>IF($F$2&gt;=T$2,Input!DC181,Input!DC61)</f>
        <v>0</v>
      </c>
      <c r="U38" s="368">
        <f t="shared" ref="U38:U39" si="20">+SUM(I38:T38)</f>
        <v>0</v>
      </c>
      <c r="V38" s="368">
        <f>-U38+H38</f>
        <v>0</v>
      </c>
      <c r="W38" s="255" t="str">
        <f t="shared" ref="W38:W39" si="21">IFERROR(+V38/H38,"")</f>
        <v/>
      </c>
      <c r="X38" s="187"/>
      <c r="Y38" s="254"/>
      <c r="Z38" s="210"/>
      <c r="AA38" s="210"/>
      <c r="AB38" s="210"/>
      <c r="AC38" t="s">
        <v>163</v>
      </c>
    </row>
    <row r="39" spans="1:29" ht="16.5" x14ac:dyDescent="0.3">
      <c r="A39" s="205"/>
      <c r="B39" s="206"/>
      <c r="C39" s="198"/>
      <c r="D39" s="198" t="s">
        <v>226</v>
      </c>
      <c r="E39" s="198"/>
      <c r="F39" s="198"/>
      <c r="G39">
        <v>8</v>
      </c>
      <c r="H39" s="200">
        <f>Input!Q62</f>
        <v>0</v>
      </c>
      <c r="I39" s="200">
        <f>IF($F$2&gt;=I$2,Input!CR182,Input!CR62)</f>
        <v>0</v>
      </c>
      <c r="J39" s="200">
        <f>IF($F$2&gt;=J$2,Input!CS182,Input!CS62)</f>
        <v>0</v>
      </c>
      <c r="K39" s="200">
        <f>IF($F$2&gt;=K$2,Input!CT182,Input!CT62)</f>
        <v>0</v>
      </c>
      <c r="L39" s="200">
        <f>IF($F$2&gt;=L$2,Input!CU182,Input!CU62)</f>
        <v>0</v>
      </c>
      <c r="M39" s="200">
        <f>IF($F$2&gt;=M$2,Input!CV182,Input!CV62)</f>
        <v>0</v>
      </c>
      <c r="N39" s="200">
        <f>IF($F$2&gt;=N$2,Input!CW182,Input!CW62)</f>
        <v>0</v>
      </c>
      <c r="O39" s="200">
        <f>IF($F$2&gt;=O$2,Input!CX182,Input!CX62)</f>
        <v>0</v>
      </c>
      <c r="P39" s="200">
        <f>IF($F$2&gt;=P$2,Input!CY182,Input!CY62)</f>
        <v>0</v>
      </c>
      <c r="Q39" s="200">
        <f>IF($F$2&gt;=Q$2,Input!CZ182,Input!CZ62)</f>
        <v>0</v>
      </c>
      <c r="R39" s="200">
        <f>IF($F$2&gt;=R$2,Input!DA182,Input!DA62)</f>
        <v>0</v>
      </c>
      <c r="S39" s="200">
        <f>IF($F$2&gt;=S$2,Input!DB182,Input!DB62)</f>
        <v>0</v>
      </c>
      <c r="T39" s="200">
        <f>IF($F$2&gt;=T$2,Input!DC182,Input!DC62)</f>
        <v>0</v>
      </c>
      <c r="U39" s="368">
        <f t="shared" si="20"/>
        <v>0</v>
      </c>
      <c r="V39" s="368">
        <f>-U39+H39</f>
        <v>0</v>
      </c>
      <c r="W39" s="255" t="str">
        <f t="shared" si="21"/>
        <v/>
      </c>
      <c r="X39" s="187"/>
      <c r="Y39" s="254"/>
      <c r="Z39" s="210"/>
      <c r="AA39" s="210"/>
      <c r="AB39" s="210"/>
      <c r="AC39" t="s">
        <v>163</v>
      </c>
    </row>
    <row r="40" spans="1:29" ht="16.5" x14ac:dyDescent="0.3">
      <c r="A40" s="205"/>
      <c r="B40" s="206"/>
      <c r="C40" s="198"/>
      <c r="D40" s="198"/>
      <c r="E40" s="198"/>
      <c r="F40" s="198"/>
      <c r="G40" s="199"/>
      <c r="H40" s="200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366"/>
      <c r="V40" s="368"/>
      <c r="W40" s="255"/>
      <c r="X40" s="187"/>
      <c r="Y40" s="254"/>
      <c r="Z40" s="210"/>
      <c r="AA40" s="210"/>
      <c r="AB40" s="210"/>
      <c r="AC40" t="s">
        <v>163</v>
      </c>
    </row>
    <row r="41" spans="1:29" ht="16.5" x14ac:dyDescent="0.3">
      <c r="A41" s="205"/>
      <c r="B41" s="206"/>
      <c r="C41" s="207" t="s">
        <v>315</v>
      </c>
      <c r="D41" s="207"/>
      <c r="E41" s="207"/>
      <c r="F41" s="229"/>
      <c r="G41" s="258"/>
      <c r="H41" s="208">
        <f>+H18+H19+H30+H36+H38+H39</f>
        <v>710000000</v>
      </c>
      <c r="I41" s="208">
        <f t="shared" ref="I41" si="22">+I18+I19+I30+I36+I38+I39</f>
        <v>49338615.68</v>
      </c>
      <c r="J41" s="208">
        <f t="shared" ref="J41:T41" si="23">+J18+J19+J30+J36+J38+J39</f>
        <v>56544053.359999999</v>
      </c>
      <c r="K41" s="208">
        <f t="shared" si="23"/>
        <v>56814497.700000003</v>
      </c>
      <c r="L41" s="208">
        <f t="shared" si="23"/>
        <v>56508375.13000001</v>
      </c>
      <c r="M41" s="208">
        <f t="shared" si="23"/>
        <v>53487162.529999994</v>
      </c>
      <c r="N41" s="208">
        <f t="shared" si="23"/>
        <v>62641750.998754129</v>
      </c>
      <c r="O41" s="208">
        <f t="shared" si="23"/>
        <v>61046875.881672554</v>
      </c>
      <c r="P41" s="208">
        <f t="shared" si="23"/>
        <v>62962746.810693458</v>
      </c>
      <c r="Q41" s="208">
        <f t="shared" si="23"/>
        <v>62849631.333488785</v>
      </c>
      <c r="R41" s="208">
        <f t="shared" si="23"/>
        <v>63259155.54358238</v>
      </c>
      <c r="S41" s="208">
        <f t="shared" si="23"/>
        <v>63294694.54358238</v>
      </c>
      <c r="T41" s="208">
        <f t="shared" si="23"/>
        <v>67889747.426994979</v>
      </c>
      <c r="U41" s="370">
        <f>+U18+U19+U30+U36+U38+U39</f>
        <v>716637306.93876863</v>
      </c>
      <c r="V41" s="370">
        <f>-U41+H41</f>
        <v>-6637306.9387686253</v>
      </c>
      <c r="W41" s="337">
        <f>IFERROR(+V41/H41,"")</f>
        <v>-9.3483196320684869E-3</v>
      </c>
      <c r="X41" s="187"/>
      <c r="Y41" s="254"/>
      <c r="Z41" s="210"/>
      <c r="AA41" s="210"/>
      <c r="AB41" s="210"/>
      <c r="AC41" t="s">
        <v>163</v>
      </c>
    </row>
    <row r="42" spans="1:29" ht="16.5" x14ac:dyDescent="0.3">
      <c r="A42" s="205"/>
      <c r="B42" s="206"/>
      <c r="C42" s="207"/>
      <c r="D42" s="207"/>
      <c r="E42" s="207"/>
      <c r="F42" s="207"/>
      <c r="G42" s="213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371"/>
      <c r="V42" s="371"/>
      <c r="W42" s="261"/>
      <c r="X42" s="187"/>
      <c r="Y42" s="254"/>
      <c r="Z42" s="210"/>
      <c r="AA42" s="210"/>
      <c r="AB42" s="210"/>
      <c r="AC42" t="s">
        <v>163</v>
      </c>
    </row>
    <row r="43" spans="1:29" ht="16.5" x14ac:dyDescent="0.3">
      <c r="A43" s="205"/>
      <c r="B43" s="206"/>
      <c r="C43" s="308" t="s">
        <v>350</v>
      </c>
      <c r="D43" s="308"/>
      <c r="E43" s="308"/>
      <c r="F43" s="308"/>
      <c r="G43" s="324"/>
      <c r="H43" s="310">
        <f>+H15-H41</f>
        <v>-590000000</v>
      </c>
      <c r="I43" s="310">
        <f>+I15-I41</f>
        <v>-44021930.009999998</v>
      </c>
      <c r="J43" s="310">
        <f t="shared" ref="J43:T43" si="24">+J15-J41</f>
        <v>-47300082.5</v>
      </c>
      <c r="K43" s="310">
        <f t="shared" si="24"/>
        <v>-27791708.240000002</v>
      </c>
      <c r="L43" s="310">
        <f t="shared" si="24"/>
        <v>-31471606.960000008</v>
      </c>
      <c r="M43" s="310">
        <f t="shared" si="24"/>
        <v>-24753403.019999996</v>
      </c>
      <c r="N43" s="310">
        <f t="shared" si="24"/>
        <v>-54651297.547129132</v>
      </c>
      <c r="O43" s="310">
        <f t="shared" si="24"/>
        <v>86889977.569952428</v>
      </c>
      <c r="P43" s="310">
        <f t="shared" si="24"/>
        <v>-46078118.984068453</v>
      </c>
      <c r="Q43" s="310">
        <f t="shared" si="24"/>
        <v>-48788558.373488784</v>
      </c>
      <c r="R43" s="310">
        <f t="shared" si="24"/>
        <v>-44092203.093582377</v>
      </c>
      <c r="S43" s="310">
        <f t="shared" si="24"/>
        <v>-58988794.54358238</v>
      </c>
      <c r="T43" s="310">
        <f t="shared" si="24"/>
        <v>-63394597.426994979</v>
      </c>
      <c r="U43" s="387">
        <f>+U15-U41</f>
        <v>-404442323.12889367</v>
      </c>
      <c r="V43" s="387">
        <f>+U43-H43</f>
        <v>185557676.87110633</v>
      </c>
      <c r="W43" s="385">
        <f>IFERROR(+V43/H43,"")</f>
        <v>-0.31450453706967174</v>
      </c>
      <c r="X43" s="187"/>
      <c r="Y43" s="254"/>
      <c r="Z43" s="210"/>
      <c r="AA43" s="210"/>
      <c r="AB43" s="210"/>
      <c r="AC43" t="s">
        <v>163</v>
      </c>
    </row>
    <row r="44" spans="1:29" ht="16.5" x14ac:dyDescent="0.3">
      <c r="A44" s="205"/>
      <c r="B44" s="206"/>
      <c r="C44" s="207"/>
      <c r="D44" s="207"/>
      <c r="E44" s="207"/>
      <c r="F44" s="207"/>
      <c r="G44" s="260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371"/>
      <c r="V44" s="371"/>
      <c r="W44" s="261"/>
      <c r="X44" s="187"/>
      <c r="Y44" s="254"/>
      <c r="Z44" s="210"/>
      <c r="AA44" s="210"/>
      <c r="AB44" s="210"/>
      <c r="AC44" t="s">
        <v>163</v>
      </c>
    </row>
    <row r="45" spans="1:29" ht="16.5" x14ac:dyDescent="0.3">
      <c r="A45" s="196"/>
      <c r="B45" s="197"/>
      <c r="C45" s="198"/>
      <c r="D45" s="269" t="s">
        <v>176</v>
      </c>
      <c r="E45" s="198"/>
      <c r="F45" s="198"/>
      <c r="G45" s="320">
        <v>17.2</v>
      </c>
      <c r="H45" s="344">
        <f>Input!Q23</f>
        <v>590000000</v>
      </c>
      <c r="I45" s="200">
        <f>IF($F$2&gt;=I$2,Input!CR143,Input!CR23)</f>
        <v>44168000</v>
      </c>
      <c r="J45" s="200">
        <f>IF($F$2&gt;=J$2,Input!CS143,Input!CS23)</f>
        <v>45380000</v>
      </c>
      <c r="K45" s="200">
        <f>IF($F$2&gt;=K$2,Input!CT143,Input!CT23)</f>
        <v>31000000</v>
      </c>
      <c r="L45" s="200">
        <f>IF($F$2&gt;=L$2,Input!CU143,Input!CU23)</f>
        <v>45380000</v>
      </c>
      <c r="M45" s="200">
        <f>IF($F$2&gt;=M$2,Input!CV143,Input!CV23)</f>
        <v>41308000</v>
      </c>
      <c r="N45" s="200">
        <f>IF($F$2&gt;=N$2,Input!CW143,Input!CW23)</f>
        <v>47642159.007278219</v>
      </c>
      <c r="O45" s="200">
        <f>IF($F$2&gt;=O$2,Input!CX143,Input!CX23)</f>
        <v>46046583.890196651</v>
      </c>
      <c r="P45" s="200">
        <f>IF($F$2&gt;=P$2,Input!CY143,Input!CY23)</f>
        <v>42962454.819217548</v>
      </c>
      <c r="Q45" s="200">
        <f>IF($F$2&gt;=Q$2,Input!CZ143,Input!CZ23)</f>
        <v>32849368.522012874</v>
      </c>
      <c r="R45" s="200">
        <f>IF($F$2&gt;=R$2,Input!DA143,Input!DA23)</f>
        <v>33258892.73210647</v>
      </c>
      <c r="S45" s="200">
        <f>IF($F$2&gt;=S$2,Input!DB143,Input!DB23)</f>
        <v>33294431.73210647</v>
      </c>
      <c r="T45" s="200">
        <f>IF($F$2&gt;=T$2,Input!DC143,Input!DC23)</f>
        <v>37889484.615519077</v>
      </c>
      <c r="U45" s="368">
        <f>+SUM(I45:T45)</f>
        <v>481179375.31843734</v>
      </c>
      <c r="V45" s="368">
        <f>-U45+H45</f>
        <v>108820624.68156266</v>
      </c>
      <c r="W45" s="255">
        <f t="shared" ref="W45:W47" si="25">IFERROR(+V45/H45,"")</f>
        <v>0.1844417367484113</v>
      </c>
      <c r="X45" s="187"/>
      <c r="Y45" s="254"/>
      <c r="Z45" s="202"/>
      <c r="AA45" s="202"/>
      <c r="AB45" s="202"/>
      <c r="AC45" t="s">
        <v>163</v>
      </c>
    </row>
    <row r="46" spans="1:29" ht="16.5" x14ac:dyDescent="0.3">
      <c r="A46" s="196"/>
      <c r="B46" s="197"/>
      <c r="C46" s="198"/>
      <c r="D46" s="269" t="s">
        <v>180</v>
      </c>
      <c r="E46" s="198"/>
      <c r="F46" s="198"/>
      <c r="G46" s="320">
        <v>17.399999999999999</v>
      </c>
      <c r="H46" s="344">
        <f>Input!Q25</f>
        <v>200000000</v>
      </c>
      <c r="I46" s="200">
        <f>IF($F$2&gt;=I$2,Input!CR145,Input!CR25)</f>
        <v>0</v>
      </c>
      <c r="J46" s="200">
        <f>IF($F$2&gt;=J$2,Input!CS145,Input!CS25)</f>
        <v>15000000</v>
      </c>
      <c r="K46" s="200">
        <f>IF($F$2&gt;=K$2,Input!CT145,Input!CT25)</f>
        <v>15000000</v>
      </c>
      <c r="L46" s="200">
        <f>IF($F$2&gt;=L$2,Input!CU145,Input!CU25)</f>
        <v>0</v>
      </c>
      <c r="M46" s="200">
        <f>IF($F$2&gt;=M$2,Input!CV145,Input!CV25)</f>
        <v>0</v>
      </c>
      <c r="N46" s="200">
        <f>IF($F$2&gt;=N$2,Input!CW145,Input!CW25)</f>
        <v>15000000</v>
      </c>
      <c r="O46" s="200">
        <f>IF($F$2&gt;=O$2,Input!CX145,Input!CX25)</f>
        <v>15000000</v>
      </c>
      <c r="P46" s="200">
        <f>IF($F$2&gt;=P$2,Input!CY145,Input!CY25)</f>
        <v>20000000</v>
      </c>
      <c r="Q46" s="200">
        <f>IF($F$2&gt;=Q$2,Input!CZ145,Input!CZ25)</f>
        <v>30000000</v>
      </c>
      <c r="R46" s="200">
        <f>IF($F$2&gt;=R$2,Input!DA145,Input!DA25)</f>
        <v>30000000</v>
      </c>
      <c r="S46" s="200">
        <f>IF($F$2&gt;=S$2,Input!DB145,Input!DB25)</f>
        <v>30000000</v>
      </c>
      <c r="T46" s="200">
        <f>IF($F$2&gt;=T$2,Input!DC145,Input!DC25)</f>
        <v>30000000</v>
      </c>
      <c r="U46" s="368">
        <f>+SUM(I46:T46)</f>
        <v>200000000</v>
      </c>
      <c r="V46" s="368">
        <f>-U46+H46</f>
        <v>0</v>
      </c>
      <c r="W46" s="255">
        <f t="shared" si="25"/>
        <v>0</v>
      </c>
      <c r="X46" s="187"/>
      <c r="Y46" s="254"/>
      <c r="Z46" s="202"/>
      <c r="AA46" s="202"/>
      <c r="AB46" s="202"/>
      <c r="AC46" t="s">
        <v>163</v>
      </c>
    </row>
    <row r="47" spans="1:29" ht="16.5" x14ac:dyDescent="0.3">
      <c r="A47" s="196"/>
      <c r="B47" s="197"/>
      <c r="C47" s="314" t="s">
        <v>309</v>
      </c>
      <c r="D47" s="198"/>
      <c r="E47" s="198"/>
      <c r="F47" s="268"/>
      <c r="G47" s="311"/>
      <c r="H47" s="373">
        <f>SUM(H45:H46)</f>
        <v>790000000</v>
      </c>
      <c r="I47" s="373">
        <f t="shared" ref="I47" si="26">SUM(I45:I46)</f>
        <v>44168000</v>
      </c>
      <c r="J47" s="373">
        <f t="shared" ref="J47:T47" si="27">SUM(J45:J46)</f>
        <v>60380000</v>
      </c>
      <c r="K47" s="373">
        <f t="shared" si="27"/>
        <v>46000000</v>
      </c>
      <c r="L47" s="373">
        <f t="shared" si="27"/>
        <v>45380000</v>
      </c>
      <c r="M47" s="373">
        <f t="shared" si="27"/>
        <v>41308000</v>
      </c>
      <c r="N47" s="373">
        <f t="shared" si="27"/>
        <v>62642159.007278219</v>
      </c>
      <c r="O47" s="373">
        <f t="shared" si="27"/>
        <v>61046583.890196651</v>
      </c>
      <c r="P47" s="373">
        <f t="shared" si="27"/>
        <v>62962454.819217548</v>
      </c>
      <c r="Q47" s="373">
        <f t="shared" si="27"/>
        <v>62849368.522012874</v>
      </c>
      <c r="R47" s="373">
        <f t="shared" si="27"/>
        <v>63258892.73210647</v>
      </c>
      <c r="S47" s="373">
        <f t="shared" si="27"/>
        <v>63294431.73210647</v>
      </c>
      <c r="T47" s="373">
        <f t="shared" si="27"/>
        <v>67889484.615519077</v>
      </c>
      <c r="U47" s="368">
        <f>+SUM(I47:T47)</f>
        <v>681179375.31843734</v>
      </c>
      <c r="V47" s="368">
        <f>-U47+H47</f>
        <v>108820624.68156266</v>
      </c>
      <c r="W47" s="255">
        <f t="shared" si="25"/>
        <v>0.13774762617919326</v>
      </c>
      <c r="X47" s="187"/>
      <c r="Y47" s="254"/>
      <c r="Z47" s="202"/>
      <c r="AA47" s="202"/>
      <c r="AB47" s="202"/>
      <c r="AC47" t="s">
        <v>163</v>
      </c>
    </row>
    <row r="48" spans="1:29" ht="16.5" x14ac:dyDescent="0.3">
      <c r="A48" s="205"/>
      <c r="B48" s="206"/>
      <c r="C48" s="198"/>
      <c r="D48" s="198"/>
      <c r="E48" s="198"/>
      <c r="F48" s="198"/>
      <c r="G48" s="199"/>
      <c r="H48" s="212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4"/>
      <c r="T48" s="344"/>
      <c r="U48" s="366"/>
      <c r="V48" s="368"/>
      <c r="W48" s="255"/>
      <c r="X48" s="187"/>
      <c r="Y48" s="254"/>
      <c r="Z48" s="210"/>
      <c r="AA48" s="210"/>
      <c r="AB48" s="210"/>
      <c r="AC48" t="s">
        <v>163</v>
      </c>
    </row>
    <row r="49" spans="1:29" ht="16.5" x14ac:dyDescent="0.3">
      <c r="A49" s="205"/>
      <c r="B49" s="206"/>
      <c r="C49" s="326" t="s">
        <v>458</v>
      </c>
      <c r="D49" s="308"/>
      <c r="E49" s="325"/>
      <c r="F49" s="308"/>
      <c r="G49" s="309"/>
      <c r="H49" s="310">
        <f>+H15+H45+H46-H41</f>
        <v>200000000</v>
      </c>
      <c r="I49" s="310">
        <f>+I15+I45+I46-I41</f>
        <v>146069.99000000209</v>
      </c>
      <c r="J49" s="310">
        <f t="shared" ref="J49:T49" si="28">+J15+J45+J46-J41</f>
        <v>13079917.5</v>
      </c>
      <c r="K49" s="310">
        <f t="shared" si="28"/>
        <v>18208291.760000005</v>
      </c>
      <c r="L49" s="310">
        <f t="shared" si="28"/>
        <v>13908393.039999992</v>
      </c>
      <c r="M49" s="310">
        <f t="shared" si="28"/>
        <v>16554596.979999997</v>
      </c>
      <c r="N49" s="310">
        <f t="shared" si="28"/>
        <v>7990861.4601490945</v>
      </c>
      <c r="O49" s="310">
        <f t="shared" si="28"/>
        <v>147936561.46014908</v>
      </c>
      <c r="P49" s="310">
        <f t="shared" si="28"/>
        <v>16884335.835149094</v>
      </c>
      <c r="Q49" s="310">
        <f t="shared" si="28"/>
        <v>14060810.148524083</v>
      </c>
      <c r="R49" s="310">
        <f t="shared" si="28"/>
        <v>19166689.638524085</v>
      </c>
      <c r="S49" s="310">
        <f t="shared" si="28"/>
        <v>4305637.1885240972</v>
      </c>
      <c r="T49" s="310">
        <f t="shared" si="28"/>
        <v>4494887.1885240972</v>
      </c>
      <c r="U49" s="387">
        <f>+U15+U45+U46-U41</f>
        <v>276737052.18954372</v>
      </c>
      <c r="V49" s="387">
        <f>+U49-H49</f>
        <v>76737052.189543724</v>
      </c>
      <c r="W49" s="385">
        <f>IFERROR(+V49/H49,"")</f>
        <v>0.3836852609477186</v>
      </c>
      <c r="X49" s="187"/>
      <c r="Y49" s="254"/>
      <c r="Z49" s="210"/>
      <c r="AA49" s="210"/>
      <c r="AB49" s="210"/>
      <c r="AC49" t="s">
        <v>163</v>
      </c>
    </row>
    <row r="50" spans="1:29" ht="17.25" thickBot="1" x14ac:dyDescent="0.35">
      <c r="A50" s="205"/>
      <c r="B50" s="315"/>
      <c r="C50" s="312"/>
      <c r="D50" s="312"/>
      <c r="E50" s="312"/>
      <c r="F50" s="312"/>
      <c r="G50" s="313"/>
      <c r="H50" s="374"/>
      <c r="I50" s="374"/>
      <c r="J50" s="374"/>
      <c r="K50" s="374"/>
      <c r="L50" s="374"/>
      <c r="M50" s="374"/>
      <c r="N50" s="374"/>
      <c r="O50" s="374"/>
      <c r="P50" s="374"/>
      <c r="Q50" s="374"/>
      <c r="R50" s="374"/>
      <c r="S50" s="374"/>
      <c r="T50" s="374"/>
      <c r="U50" s="375"/>
      <c r="V50" s="376"/>
      <c r="W50" s="338"/>
      <c r="X50" s="316"/>
      <c r="Y50" s="254"/>
      <c r="Z50" s="210"/>
      <c r="AA50" s="210"/>
      <c r="AB50" s="210"/>
      <c r="AC50" t="s">
        <v>163</v>
      </c>
    </row>
    <row r="51" spans="1:29" ht="16.5" x14ac:dyDescent="0.3">
      <c r="A51" s="205"/>
      <c r="B51" s="206"/>
      <c r="C51" s="198"/>
      <c r="D51" s="198"/>
      <c r="E51" s="198"/>
      <c r="F51" s="198"/>
      <c r="G51" s="199"/>
      <c r="H51" s="344"/>
      <c r="I51" s="344"/>
      <c r="J51" s="344"/>
      <c r="K51" s="344"/>
      <c r="L51" s="344"/>
      <c r="M51" s="344"/>
      <c r="N51" s="344"/>
      <c r="O51" s="344"/>
      <c r="P51" s="344"/>
      <c r="Q51" s="344"/>
      <c r="R51" s="344"/>
      <c r="S51" s="344"/>
      <c r="T51" s="344"/>
      <c r="U51" s="366"/>
      <c r="V51" s="371"/>
      <c r="W51" s="255"/>
      <c r="X51" s="187"/>
      <c r="Y51" s="254"/>
      <c r="Z51" s="210"/>
      <c r="AA51" s="210"/>
      <c r="AB51" s="210"/>
      <c r="AC51" t="s">
        <v>163</v>
      </c>
    </row>
    <row r="52" spans="1:29" ht="16.5" x14ac:dyDescent="0.3">
      <c r="A52" s="205"/>
      <c r="B52" s="206"/>
      <c r="C52" s="321" t="s">
        <v>316</v>
      </c>
      <c r="D52" s="228"/>
      <c r="E52" s="198"/>
      <c r="F52" s="198"/>
      <c r="G52" s="199"/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344"/>
      <c r="T52" s="344"/>
      <c r="U52" s="366"/>
      <c r="V52" s="371"/>
      <c r="W52" s="255"/>
      <c r="X52" s="187"/>
      <c r="Y52" s="254"/>
      <c r="Z52" s="210"/>
      <c r="AA52" s="210"/>
      <c r="AB52" s="210"/>
      <c r="AC52" t="s">
        <v>163</v>
      </c>
    </row>
    <row r="53" spans="1:29" ht="16.5" x14ac:dyDescent="0.3">
      <c r="A53" s="205"/>
      <c r="B53" s="206"/>
      <c r="C53" s="228"/>
      <c r="D53" s="228" t="s">
        <v>317</v>
      </c>
      <c r="E53" s="198"/>
      <c r="F53" s="198"/>
      <c r="G53" s="199" t="s">
        <v>327</v>
      </c>
      <c r="H53" s="200">
        <f>Input!Q108</f>
        <v>590000000</v>
      </c>
      <c r="I53" s="200">
        <f>IF($F$2&gt;=I$2,Input!CR228,Input!CR108)</f>
        <v>44168000</v>
      </c>
      <c r="J53" s="200">
        <f>IF($F$2&gt;=J$2,Input!CS228,Input!CS108)</f>
        <v>45380000</v>
      </c>
      <c r="K53" s="200">
        <f>IF($F$2&gt;=K$2,Input!CT228,Input!CT108)</f>
        <v>41815531.210000001</v>
      </c>
      <c r="L53" s="200">
        <f>IF($F$2&gt;=L$2,Input!CU228,Input!CU108)</f>
        <v>56508375.13000001</v>
      </c>
      <c r="M53" s="200">
        <f>IF($F$2&gt;=M$2,Input!CV228,Input!CV108)</f>
        <v>53487162.529999994</v>
      </c>
      <c r="N53" s="200">
        <f>IF($F$2&gt;=N$2,Input!CW228,Input!CW108)</f>
        <v>47642159.007278219</v>
      </c>
      <c r="O53" s="200">
        <f>IF($F$2&gt;=O$2,Input!CX228,Input!CX108)</f>
        <v>0</v>
      </c>
      <c r="P53" s="200">
        <f>IF($F$2&gt;=P$2,Input!CY228,Input!CY108)</f>
        <v>0</v>
      </c>
      <c r="Q53" s="200">
        <f>IF($F$2&gt;=Q$2,Input!CZ228,Input!CZ108)</f>
        <v>0</v>
      </c>
      <c r="R53" s="200">
        <f>IF($F$2&gt;=R$2,Input!DA228,Input!DA108)</f>
        <v>0</v>
      </c>
      <c r="S53" s="200">
        <f>IF($F$2&gt;=S$2,Input!DB228,Input!DB108)</f>
        <v>0</v>
      </c>
      <c r="T53" s="200">
        <f>IF($F$2&gt;=T$2,Input!DC228,Input!DC108)</f>
        <v>0</v>
      </c>
      <c r="U53" s="371">
        <f t="shared" ref="U53:U58" si="29">+SUM(I53:T53)</f>
        <v>289001227.87727827</v>
      </c>
      <c r="V53" s="368">
        <f t="shared" ref="V53:V58" si="30">-U53+H53</f>
        <v>300998772.12272173</v>
      </c>
      <c r="W53" s="255">
        <f t="shared" ref="W53:W58" si="31">IFERROR(+V53/H53,"")</f>
        <v>0.51016741037749447</v>
      </c>
      <c r="X53" s="187"/>
      <c r="Y53" s="254"/>
      <c r="Z53" s="210"/>
      <c r="AA53" s="210"/>
      <c r="AB53" s="210"/>
      <c r="AC53" t="s">
        <v>163</v>
      </c>
    </row>
    <row r="54" spans="1:29" ht="16.5" x14ac:dyDescent="0.3">
      <c r="A54" s="205"/>
      <c r="B54" s="206"/>
      <c r="C54" s="228"/>
      <c r="D54" s="228" t="s">
        <v>275</v>
      </c>
      <c r="E54" s="198"/>
      <c r="F54" s="198"/>
      <c r="G54" s="199" t="s">
        <v>125</v>
      </c>
      <c r="H54" s="200">
        <f>Input!Q109</f>
        <v>120000000</v>
      </c>
      <c r="I54" s="200">
        <f>IF($F$2&gt;=I$2,Input!CR229,Input!CR109)</f>
        <v>7628000</v>
      </c>
      <c r="J54" s="200">
        <f>IF($F$2&gt;=J$2,Input!CS229,Input!CS109)</f>
        <v>0</v>
      </c>
      <c r="K54" s="200">
        <f>IF($F$2&gt;=K$2,Input!CT229,Input!CT109)</f>
        <v>0</v>
      </c>
      <c r="L54" s="200">
        <f>IF($F$2&gt;=L$2,Input!CU229,Input!CU109)</f>
        <v>0</v>
      </c>
      <c r="M54" s="200">
        <f>IF($F$2&gt;=M$2,Input!CV229,Input!CV109)</f>
        <v>0</v>
      </c>
      <c r="N54" s="200">
        <f>IF($F$2&gt;=N$2,Input!CW229,Input!CW109)</f>
        <v>0</v>
      </c>
      <c r="O54" s="200">
        <f>IF($F$2&gt;=O$2,Input!CX229,Input!CX109)</f>
        <v>0</v>
      </c>
      <c r="P54" s="200">
        <f>IF($F$2&gt;=P$2,Input!CY229,Input!CY109)</f>
        <v>0</v>
      </c>
      <c r="Q54" s="200">
        <f>IF($F$2&gt;=Q$2,Input!CZ229,Input!CZ109)</f>
        <v>0</v>
      </c>
      <c r="R54" s="200">
        <f>IF($F$2&gt;=R$2,Input!DA229,Input!DA109)</f>
        <v>0</v>
      </c>
      <c r="S54" s="200">
        <f>IF($F$2&gt;=S$2,Input!DB229,Input!DB109)</f>
        <v>0</v>
      </c>
      <c r="T54" s="200">
        <f>IF($F$2&gt;=T$2,Input!DC229,Input!DC109)</f>
        <v>0</v>
      </c>
      <c r="U54" s="368">
        <f t="shared" si="29"/>
        <v>7628000</v>
      </c>
      <c r="V54" s="368">
        <f t="shared" si="30"/>
        <v>112372000</v>
      </c>
      <c r="W54" s="255">
        <f t="shared" si="31"/>
        <v>0.93643333333333334</v>
      </c>
      <c r="X54" s="187"/>
      <c r="Y54" s="254"/>
      <c r="Z54" s="210"/>
      <c r="AA54" s="210"/>
      <c r="AB54" s="210"/>
      <c r="AC54" t="s">
        <v>163</v>
      </c>
    </row>
    <row r="55" spans="1:29" ht="16.5" x14ac:dyDescent="0.3">
      <c r="A55" s="205"/>
      <c r="B55" s="206"/>
      <c r="C55" s="228"/>
      <c r="D55" s="228" t="s">
        <v>277</v>
      </c>
      <c r="E55" s="198"/>
      <c r="F55" s="198"/>
      <c r="G55" s="199" t="s">
        <v>126</v>
      </c>
      <c r="H55" s="200">
        <f>Input!Q110</f>
        <v>0</v>
      </c>
      <c r="I55" s="200">
        <f>IF($F$2&gt;=I$2,Input!CR230,Input!CR110)</f>
        <v>0</v>
      </c>
      <c r="J55" s="200">
        <f>IF($F$2&gt;=J$2,Input!CS230,Input!CS110)</f>
        <v>0</v>
      </c>
      <c r="K55" s="200">
        <f>IF($F$2&gt;=K$2,Input!CT230,Input!CT110)</f>
        <v>0</v>
      </c>
      <c r="L55" s="200">
        <f>IF($F$2&gt;=L$2,Input!CU230,Input!CU110)</f>
        <v>0</v>
      </c>
      <c r="M55" s="200">
        <f>IF($F$2&gt;=M$2,Input!CV230,Input!CV110)</f>
        <v>0</v>
      </c>
      <c r="N55" s="200">
        <f>IF($F$2&gt;=N$2,Input!CW230,Input!CW110)</f>
        <v>0</v>
      </c>
      <c r="O55" s="200">
        <f>IF($F$2&gt;=O$2,Input!CX230,Input!CX110)</f>
        <v>0</v>
      </c>
      <c r="P55" s="200">
        <f>IF($F$2&gt;=P$2,Input!CY230,Input!CY110)</f>
        <v>0</v>
      </c>
      <c r="Q55" s="200">
        <f>IF($F$2&gt;=Q$2,Input!CZ230,Input!CZ110)</f>
        <v>0</v>
      </c>
      <c r="R55" s="200">
        <f>IF($F$2&gt;=R$2,Input!DA230,Input!DA110)</f>
        <v>0</v>
      </c>
      <c r="S55" s="200">
        <f>IF($F$2&gt;=S$2,Input!DB230,Input!DB110)</f>
        <v>0</v>
      </c>
      <c r="T55" s="200">
        <f>IF($F$2&gt;=T$2,Input!DC230,Input!DC110)</f>
        <v>0</v>
      </c>
      <c r="U55" s="368">
        <f t="shared" si="29"/>
        <v>0</v>
      </c>
      <c r="V55" s="368">
        <f t="shared" si="30"/>
        <v>0</v>
      </c>
      <c r="W55" s="255" t="str">
        <f t="shared" si="31"/>
        <v/>
      </c>
      <c r="X55" s="187"/>
      <c r="Y55" s="254"/>
      <c r="Z55" s="210"/>
      <c r="AA55" s="210"/>
      <c r="AB55" s="210"/>
      <c r="AC55" t="s">
        <v>163</v>
      </c>
    </row>
    <row r="56" spans="1:29" ht="16.5" x14ac:dyDescent="0.3">
      <c r="A56" s="205"/>
      <c r="B56" s="206"/>
      <c r="C56" s="228"/>
      <c r="D56" s="228" t="s">
        <v>319</v>
      </c>
      <c r="E56" s="198"/>
      <c r="F56" s="198"/>
      <c r="G56" s="199" t="s">
        <v>127</v>
      </c>
      <c r="H56" s="200">
        <f>Input!Q111</f>
        <v>0</v>
      </c>
      <c r="I56" s="200">
        <f>IF($F$2&gt;=I$2,Input!CR231,Input!CR111)</f>
        <v>0</v>
      </c>
      <c r="J56" s="200">
        <f>IF($F$2&gt;=J$2,Input!CS231,Input!CS111)</f>
        <v>15000249.33</v>
      </c>
      <c r="K56" s="200">
        <f>IF($F$2&gt;=K$2,Input!CT231,Input!CT111)</f>
        <v>14998966.49</v>
      </c>
      <c r="L56" s="200">
        <f>IF($F$2&gt;=L$2,Input!CU231,Input!CU111)</f>
        <v>0</v>
      </c>
      <c r="M56" s="200">
        <f>IF($F$2&gt;=M$2,Input!CV231,Input!CV111)</f>
        <v>0</v>
      </c>
      <c r="N56" s="200">
        <f>IF($F$2&gt;=N$2,Input!CW231,Input!CW111)</f>
        <v>14999591.99147591</v>
      </c>
      <c r="O56" s="200">
        <f>IF($F$2&gt;=O$2,Input!CX231,Input!CX111)</f>
        <v>15000291.991475906</v>
      </c>
      <c r="P56" s="200">
        <f>IF($F$2&gt;=P$2,Input!CY231,Input!CY111)</f>
        <v>20000291.991475906</v>
      </c>
      <c r="Q56" s="200">
        <f>IF($F$2&gt;=Q$2,Input!CZ231,Input!CZ111)</f>
        <v>30000262.81147591</v>
      </c>
      <c r="R56" s="200">
        <f>IF($F$2&gt;=R$2,Input!DA231,Input!DA111)</f>
        <v>30000262.81147591</v>
      </c>
      <c r="S56" s="200">
        <f>IF($F$2&gt;=S$2,Input!DB231,Input!DB111)</f>
        <v>30000262.81147591</v>
      </c>
      <c r="T56" s="200">
        <f>IF($F$2&gt;=T$2,Input!DC231,Input!DC111)</f>
        <v>30000262.81147591</v>
      </c>
      <c r="U56" s="368">
        <f t="shared" si="29"/>
        <v>200000443.04033133</v>
      </c>
      <c r="V56" s="368">
        <f t="shared" si="30"/>
        <v>-200000443.04033133</v>
      </c>
      <c r="W56" s="255" t="str">
        <f t="shared" si="31"/>
        <v/>
      </c>
      <c r="X56" s="187"/>
      <c r="Y56" s="254"/>
      <c r="Z56" s="210"/>
      <c r="AA56" s="210"/>
      <c r="AB56" s="210"/>
      <c r="AC56" t="s">
        <v>163</v>
      </c>
    </row>
    <row r="57" spans="1:29" ht="16.5" x14ac:dyDescent="0.3">
      <c r="A57" s="205"/>
      <c r="B57" s="206"/>
      <c r="C57" s="228"/>
      <c r="D57" s="228" t="s">
        <v>282</v>
      </c>
      <c r="E57" s="198"/>
      <c r="F57" s="198"/>
      <c r="G57" s="199" t="s">
        <v>320</v>
      </c>
      <c r="H57" s="200">
        <f>Input!Q112</f>
        <v>0</v>
      </c>
      <c r="I57" s="200">
        <f>IF($F$2&gt;=I$2,Input!CR232,Input!CR112)</f>
        <v>0</v>
      </c>
      <c r="J57" s="200">
        <f>IF($F$2&gt;=J$2,Input!CS232,Input!CS112)</f>
        <v>0</v>
      </c>
      <c r="K57" s="200">
        <f>IF($F$2&gt;=K$2,Input!CT232,Input!CT112)</f>
        <v>0</v>
      </c>
      <c r="L57" s="200">
        <f>IF($F$2&gt;=L$2,Input!CU232,Input!CU112)</f>
        <v>0</v>
      </c>
      <c r="M57" s="200">
        <f>IF($F$2&gt;=M$2,Input!CV232,Input!CV112)</f>
        <v>0</v>
      </c>
      <c r="N57" s="200">
        <f>IF($F$2&gt;=N$2,Input!CW232,Input!CW112)</f>
        <v>0</v>
      </c>
      <c r="O57" s="200">
        <f>IF($F$2&gt;=O$2,Input!CX232,Input!CX112)</f>
        <v>0</v>
      </c>
      <c r="P57" s="200">
        <f>IF($F$2&gt;=P$2,Input!CY232,Input!CY112)</f>
        <v>0</v>
      </c>
      <c r="Q57" s="200">
        <f>IF($F$2&gt;=Q$2,Input!CZ232,Input!CZ112)</f>
        <v>0</v>
      </c>
      <c r="R57" s="200">
        <f>IF($F$2&gt;=R$2,Input!DA232,Input!DA112)</f>
        <v>0</v>
      </c>
      <c r="S57" s="200">
        <f>IF($F$2&gt;=S$2,Input!DB232,Input!DB112)</f>
        <v>0</v>
      </c>
      <c r="T57" s="200">
        <f>IF($F$2&gt;=T$2,Input!DC232,Input!DC112)</f>
        <v>0</v>
      </c>
      <c r="U57" s="368">
        <f t="shared" si="29"/>
        <v>0</v>
      </c>
      <c r="V57" s="368">
        <f t="shared" si="30"/>
        <v>0</v>
      </c>
      <c r="W57" s="255" t="str">
        <f t="shared" si="31"/>
        <v/>
      </c>
      <c r="X57" s="187"/>
      <c r="Y57" s="254"/>
      <c r="Z57" s="210"/>
      <c r="AA57" s="210"/>
      <c r="AB57" s="210"/>
      <c r="AC57" t="s">
        <v>163</v>
      </c>
    </row>
    <row r="58" spans="1:29" ht="16.5" x14ac:dyDescent="0.3">
      <c r="A58" s="205"/>
      <c r="B58" s="206"/>
      <c r="C58" s="321" t="s">
        <v>321</v>
      </c>
      <c r="D58" s="321"/>
      <c r="E58" s="207"/>
      <c r="F58" s="230"/>
      <c r="G58" s="259"/>
      <c r="H58" s="212">
        <f>SUM(H53:H57)</f>
        <v>710000000</v>
      </c>
      <c r="I58" s="212">
        <f>SUM(I53:I57)</f>
        <v>51796000</v>
      </c>
      <c r="J58" s="212">
        <f t="shared" ref="J58:T58" si="32">SUM(J53:J57)</f>
        <v>60380249.329999998</v>
      </c>
      <c r="K58" s="212">
        <f t="shared" si="32"/>
        <v>56814497.700000003</v>
      </c>
      <c r="L58" s="212">
        <f t="shared" si="32"/>
        <v>56508375.13000001</v>
      </c>
      <c r="M58" s="212">
        <f t="shared" si="32"/>
        <v>53487162.529999994</v>
      </c>
      <c r="N58" s="212">
        <f t="shared" si="32"/>
        <v>62641750.998754129</v>
      </c>
      <c r="O58" s="212">
        <f t="shared" si="32"/>
        <v>15000291.991475906</v>
      </c>
      <c r="P58" s="212">
        <f t="shared" si="32"/>
        <v>20000291.991475906</v>
      </c>
      <c r="Q58" s="212">
        <f t="shared" si="32"/>
        <v>30000262.81147591</v>
      </c>
      <c r="R58" s="212">
        <f t="shared" si="32"/>
        <v>30000262.81147591</v>
      </c>
      <c r="S58" s="212">
        <f t="shared" si="32"/>
        <v>30000262.81147591</v>
      </c>
      <c r="T58" s="212">
        <f t="shared" si="32"/>
        <v>30000262.81147591</v>
      </c>
      <c r="U58" s="371">
        <f t="shared" si="29"/>
        <v>496629670.91760963</v>
      </c>
      <c r="V58" s="371">
        <f t="shared" si="30"/>
        <v>213370329.08239037</v>
      </c>
      <c r="W58" s="255">
        <f t="shared" si="31"/>
        <v>0.30052159025688785</v>
      </c>
      <c r="X58" s="257"/>
      <c r="Y58" s="254"/>
      <c r="Z58" s="210"/>
      <c r="AA58" s="210"/>
      <c r="AB58" s="210"/>
      <c r="AC58" t="s">
        <v>163</v>
      </c>
    </row>
    <row r="59" spans="1:29" ht="17.25" thickBot="1" x14ac:dyDescent="0.35">
      <c r="A59" s="196"/>
      <c r="B59" s="231"/>
      <c r="C59" s="217"/>
      <c r="D59" s="217"/>
      <c r="E59" s="217"/>
      <c r="F59" s="262"/>
      <c r="G59" s="262"/>
      <c r="H59" s="263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358"/>
      <c r="V59" s="358"/>
      <c r="W59" s="332"/>
      <c r="X59" s="233"/>
      <c r="Y59" s="219"/>
      <c r="Z59" s="202"/>
      <c r="AA59" s="202"/>
      <c r="AB59" s="202"/>
      <c r="AC59" t="s">
        <v>163</v>
      </c>
    </row>
    <row r="60" spans="1:29" ht="17.25" thickBot="1" x14ac:dyDescent="0.35">
      <c r="A60" s="196"/>
      <c r="B60" s="219"/>
      <c r="C60" s="219"/>
      <c r="D60" s="219"/>
      <c r="E60" s="219"/>
      <c r="F60" s="264"/>
      <c r="G60" s="264"/>
      <c r="H60" s="265"/>
      <c r="I60" s="265"/>
      <c r="J60" s="447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450"/>
      <c r="V60" s="359"/>
      <c r="W60" s="333"/>
      <c r="X60" s="219"/>
      <c r="Y60" s="219"/>
      <c r="Z60" s="202"/>
      <c r="AA60" s="202"/>
      <c r="AB60" s="202"/>
      <c r="AC60" t="s">
        <v>163</v>
      </c>
    </row>
    <row r="61" spans="1:29" ht="16.5" x14ac:dyDescent="0.3">
      <c r="A61" s="196"/>
      <c r="B61" s="220"/>
      <c r="C61" s="221"/>
      <c r="D61" s="221"/>
      <c r="E61" s="221"/>
      <c r="F61" s="222"/>
      <c r="G61" s="222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360"/>
      <c r="V61" s="360"/>
      <c r="W61" s="224"/>
      <c r="X61" s="226"/>
      <c r="Y61" s="219"/>
      <c r="Z61" s="202"/>
      <c r="AA61" s="202"/>
      <c r="AB61" s="202"/>
      <c r="AC61" t="s">
        <v>163</v>
      </c>
    </row>
    <row r="62" spans="1:29" ht="16.5" x14ac:dyDescent="0.3">
      <c r="A62" s="196"/>
      <c r="B62" s="197"/>
      <c r="C62" s="505" t="s">
        <v>129</v>
      </c>
      <c r="D62" s="506"/>
      <c r="E62" s="182" t="str">
        <f>E2</f>
        <v>MAY</v>
      </c>
      <c r="F62" s="199"/>
      <c r="G62" s="199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351" t="str">
        <f>U2</f>
        <v>Tablero de Control Min. Transp. versión 1/2017</v>
      </c>
      <c r="V62" s="352"/>
      <c r="W62" s="327" t="s">
        <v>459</v>
      </c>
      <c r="X62" s="266"/>
      <c r="Y62" s="219"/>
      <c r="Z62" s="202"/>
      <c r="AA62" s="202"/>
      <c r="AB62" s="202"/>
      <c r="AC62" t="s">
        <v>163</v>
      </c>
    </row>
    <row r="63" spans="1:29" ht="16.5" x14ac:dyDescent="0.3">
      <c r="A63" s="196"/>
      <c r="B63" s="197"/>
      <c r="C63" s="507" t="s">
        <v>131</v>
      </c>
      <c r="D63" s="508"/>
      <c r="E63" s="182" t="str">
        <f>E3</f>
        <v>ADIFSE</v>
      </c>
      <c r="F63" s="199"/>
      <c r="G63" s="199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357"/>
      <c r="V63" s="357"/>
      <c r="W63" s="185"/>
      <c r="X63" s="201"/>
      <c r="Y63" s="219"/>
      <c r="Z63" s="202"/>
      <c r="AA63" s="202"/>
      <c r="AB63" s="202"/>
      <c r="AC63" t="s">
        <v>163</v>
      </c>
    </row>
    <row r="64" spans="1:29" ht="16.5" x14ac:dyDescent="0.3">
      <c r="A64" s="196"/>
      <c r="B64" s="197"/>
      <c r="C64" s="322" t="s">
        <v>292</v>
      </c>
      <c r="D64" s="322"/>
      <c r="E64" s="182" t="str">
        <f>E4</f>
        <v>ADIFSE</v>
      </c>
      <c r="F64" s="199"/>
      <c r="G64" s="199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357"/>
      <c r="V64" s="357"/>
      <c r="W64" s="185"/>
      <c r="X64" s="201"/>
      <c r="Y64" s="219"/>
      <c r="Z64" s="202"/>
      <c r="AA64" s="202"/>
      <c r="AB64" s="202"/>
    </row>
    <row r="65" spans="1:29" ht="58.5" customHeight="1" x14ac:dyDescent="0.3">
      <c r="A65" s="180"/>
      <c r="B65" s="181"/>
      <c r="C65" s="184"/>
      <c r="D65" s="184"/>
      <c r="E65" s="184"/>
      <c r="F65" s="191"/>
      <c r="G65" s="191"/>
      <c r="H65" s="267" t="str">
        <f t="shared" ref="H65:V65" si="33">H7</f>
        <v>PRESUPUESTO VIGENTE 2017</v>
      </c>
      <c r="I65" s="267" t="str">
        <f t="shared" si="33"/>
        <v>Ene Ejecutado</v>
      </c>
      <c r="J65" s="267" t="str">
        <f t="shared" si="33"/>
        <v>Feb Ejecutado</v>
      </c>
      <c r="K65" s="267" t="str">
        <f t="shared" si="33"/>
        <v>Mar Ejecutado</v>
      </c>
      <c r="L65" s="267" t="str">
        <f t="shared" si="33"/>
        <v>Abr Ejecutado</v>
      </c>
      <c r="M65" s="267" t="str">
        <f t="shared" si="33"/>
        <v>May Ejecutado</v>
      </c>
      <c r="N65" s="267" t="str">
        <f t="shared" si="33"/>
        <v>Jun Proyectado</v>
      </c>
      <c r="O65" s="267" t="str">
        <f t="shared" si="33"/>
        <v>Jul Proyectado</v>
      </c>
      <c r="P65" s="267" t="str">
        <f t="shared" si="33"/>
        <v>Ago Proyectado</v>
      </c>
      <c r="Q65" s="267" t="str">
        <f t="shared" si="33"/>
        <v>Sep Proyectado</v>
      </c>
      <c r="R65" s="267" t="str">
        <f t="shared" si="33"/>
        <v>Oct Proyectado</v>
      </c>
      <c r="S65" s="267" t="str">
        <f t="shared" si="33"/>
        <v>Nov Proyectado</v>
      </c>
      <c r="T65" s="267" t="str">
        <f t="shared" si="33"/>
        <v>Dic Proyectado</v>
      </c>
      <c r="U65" s="356" t="str">
        <f t="shared" si="33"/>
        <v>Total año proyectado</v>
      </c>
      <c r="V65" s="356" t="str">
        <f t="shared" si="33"/>
        <v>FALTANTE/ SOBRANTE (Proyección - Vigente)</v>
      </c>
      <c r="W65" s="331" t="s">
        <v>348</v>
      </c>
      <c r="X65" s="252"/>
      <c r="Y65" s="194"/>
      <c r="Z65" s="195" t="s">
        <v>351</v>
      </c>
      <c r="AA65" s="188"/>
      <c r="AB65" s="188"/>
      <c r="AC65" t="s">
        <v>163</v>
      </c>
    </row>
    <row r="66" spans="1:29" ht="16.5" x14ac:dyDescent="0.3">
      <c r="A66" s="196"/>
      <c r="B66" s="197"/>
      <c r="C66" s="207" t="s">
        <v>230</v>
      </c>
      <c r="D66" s="198"/>
      <c r="E66" s="198"/>
      <c r="F66" s="198"/>
      <c r="G66" s="199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368"/>
      <c r="V66" s="368"/>
      <c r="W66" s="203"/>
      <c r="X66" s="201"/>
      <c r="Y66" s="219"/>
      <c r="Z66" s="202"/>
      <c r="AA66" s="202"/>
      <c r="AB66" s="202"/>
      <c r="AC66" t="s">
        <v>163</v>
      </c>
    </row>
    <row r="67" spans="1:29" ht="16.5" x14ac:dyDescent="0.3">
      <c r="A67" s="196"/>
      <c r="B67" s="197"/>
      <c r="C67" s="198"/>
      <c r="D67" s="198" t="s">
        <v>228</v>
      </c>
      <c r="E67" s="198"/>
      <c r="F67" s="198"/>
      <c r="G67" s="199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368"/>
      <c r="V67" s="368"/>
      <c r="W67" s="203"/>
      <c r="X67" s="201"/>
      <c r="Y67" s="219"/>
      <c r="Z67" s="202"/>
      <c r="AA67" s="202"/>
      <c r="AB67" s="202"/>
      <c r="AC67" t="s">
        <v>163</v>
      </c>
    </row>
    <row r="68" spans="1:29" ht="16.5" x14ac:dyDescent="0.3">
      <c r="A68" s="196"/>
      <c r="B68" s="197"/>
      <c r="C68" s="198"/>
      <c r="D68" s="198"/>
      <c r="E68" s="198" t="s">
        <v>231</v>
      </c>
      <c r="F68" s="198"/>
      <c r="G68" s="199" t="s">
        <v>229</v>
      </c>
      <c r="H68" s="200">
        <f>Input!Q67</f>
        <v>11032522795.134399</v>
      </c>
      <c r="I68" s="200">
        <f>IF($F$2&gt;=I$2,Input!CR187,Input!CR67)</f>
        <v>314068392.13999999</v>
      </c>
      <c r="J68" s="200">
        <f>IF($F$2&gt;=J$2,Input!CS187,Input!CS67)</f>
        <v>715284437.31999993</v>
      </c>
      <c r="K68" s="200">
        <f>IF($F$2&gt;=K$2,Input!CT187,Input!CT67)</f>
        <v>728413654.39999998</v>
      </c>
      <c r="L68" s="200">
        <f>IF($F$2&gt;=L$2,Input!CU187,Input!CU67)</f>
        <v>749074322.60570002</v>
      </c>
      <c r="M68" s="200">
        <f>IF($F$2&gt;=M$2,Input!CV187,Input!CV67)</f>
        <v>799653349.12810004</v>
      </c>
      <c r="N68" s="200">
        <f>IF($F$2&gt;=N$2,Input!CW187,Input!CW67)</f>
        <v>1108183313.9589322</v>
      </c>
      <c r="O68" s="200">
        <f>IF($F$2&gt;=O$2,Input!CX187,Input!CX67)</f>
        <v>1097652353.7733834</v>
      </c>
      <c r="P68" s="200">
        <f>IF($F$2&gt;=P$2,Input!CY187,Input!CY67)</f>
        <v>1090187754.5335217</v>
      </c>
      <c r="Q68" s="200">
        <f>IF($F$2&gt;=Q$2,Input!CZ187,Input!CZ67)</f>
        <v>1190619217.1747746</v>
      </c>
      <c r="R68" s="200">
        <f>IF($F$2&gt;=R$2,Input!DA187,Input!DA67)</f>
        <v>1251454673.252748</v>
      </c>
      <c r="S68" s="200">
        <f>IF($F$2&gt;=S$2,Input!DB187,Input!DB67)</f>
        <v>1195254570.6289668</v>
      </c>
      <c r="T68" s="200">
        <f>IF($F$2&gt;=T$2,Input!DC187,Input!DC67)</f>
        <v>1235634100.369782</v>
      </c>
      <c r="U68" s="368">
        <f>+SUM(I68:T68)</f>
        <v>11475480139.28591</v>
      </c>
      <c r="V68" s="368">
        <f>-U68+H68</f>
        <v>-442957344.15151024</v>
      </c>
      <c r="W68" s="255">
        <f t="shared" ref="W68:W71" si="34">IFERROR(+V68/H68,"")</f>
        <v>-4.0150140849640012E-2</v>
      </c>
      <c r="X68" s="187"/>
      <c r="Y68" s="436" t="s">
        <v>572</v>
      </c>
      <c r="Z68" s="202"/>
      <c r="AA68" s="202"/>
      <c r="AB68" s="202"/>
      <c r="AC68" t="s">
        <v>163</v>
      </c>
    </row>
    <row r="69" spans="1:29" ht="16.5" x14ac:dyDescent="0.3">
      <c r="A69" s="196"/>
      <c r="B69" s="197"/>
      <c r="C69" s="198"/>
      <c r="D69" s="198"/>
      <c r="E69" s="198" t="s">
        <v>232</v>
      </c>
      <c r="F69" s="198"/>
      <c r="G69" s="199">
        <v>43</v>
      </c>
      <c r="H69" s="200">
        <f>Input!Q68</f>
        <v>0</v>
      </c>
      <c r="I69" s="200">
        <f>IF($F$2&gt;=I$2,Input!CR188,Input!CR68)</f>
        <v>0</v>
      </c>
      <c r="J69" s="200">
        <f>IF($F$2&gt;=J$2,Input!CS188,Input!CS68)</f>
        <v>0</v>
      </c>
      <c r="K69" s="200">
        <f>IF($F$2&gt;=K$2,Input!CT188,Input!CT68)</f>
        <v>0</v>
      </c>
      <c r="L69" s="200">
        <f>IF($F$2&gt;=L$2,Input!CU188,Input!CU68)</f>
        <v>0</v>
      </c>
      <c r="M69" s="200">
        <f>IF($F$2&gt;=M$2,Input!CV188,Input!CV68)</f>
        <v>0</v>
      </c>
      <c r="N69" s="200">
        <f>IF($F$2&gt;=N$2,Input!CW188,Input!CW68)</f>
        <v>0</v>
      </c>
      <c r="O69" s="200">
        <f>IF($F$2&gt;=O$2,Input!CX188,Input!CX68)</f>
        <v>0</v>
      </c>
      <c r="P69" s="200">
        <f>IF($F$2&gt;=P$2,Input!CY188,Input!CY68)</f>
        <v>0</v>
      </c>
      <c r="Q69" s="200">
        <f>IF($F$2&gt;=Q$2,Input!CZ188,Input!CZ68)</f>
        <v>0</v>
      </c>
      <c r="R69" s="200">
        <f>IF($F$2&gt;=R$2,Input!DA188,Input!DA68)</f>
        <v>0</v>
      </c>
      <c r="S69" s="200">
        <f>IF($F$2&gt;=S$2,Input!DB188,Input!DB68)</f>
        <v>0</v>
      </c>
      <c r="T69" s="200">
        <f>IF($F$2&gt;=T$2,Input!DC188,Input!DC68)</f>
        <v>0</v>
      </c>
      <c r="U69" s="368">
        <f t="shared" ref="U69:U70" si="35">+SUM(I69:T69)</f>
        <v>0</v>
      </c>
      <c r="V69" s="368">
        <f>-U69+H69</f>
        <v>0</v>
      </c>
      <c r="W69" s="255" t="str">
        <f t="shared" si="34"/>
        <v/>
      </c>
      <c r="X69" s="187"/>
      <c r="Y69" s="254"/>
      <c r="Z69" s="202"/>
      <c r="AA69" s="202"/>
      <c r="AB69" s="202"/>
      <c r="AC69" t="s">
        <v>163</v>
      </c>
    </row>
    <row r="70" spans="1:29" ht="16.5" x14ac:dyDescent="0.3">
      <c r="A70" s="196"/>
      <c r="B70" s="197"/>
      <c r="C70" s="198"/>
      <c r="D70" s="198"/>
      <c r="E70" s="198" t="s">
        <v>322</v>
      </c>
      <c r="F70" s="198"/>
      <c r="G70" s="199" t="s">
        <v>323</v>
      </c>
      <c r="H70" s="200">
        <f>Input!Q69</f>
        <v>0</v>
      </c>
      <c r="I70" s="200">
        <f>IF($F$2&gt;=I$2,Input!CR189,Input!CR69)</f>
        <v>0</v>
      </c>
      <c r="J70" s="200">
        <f>IF($F$2&gt;=J$2,Input!CS189,Input!CS69)</f>
        <v>0</v>
      </c>
      <c r="K70" s="200">
        <f>IF($F$2&gt;=K$2,Input!CT189,Input!CT69)</f>
        <v>0</v>
      </c>
      <c r="L70" s="200">
        <f>IF($F$2&gt;=L$2,Input!CU189,Input!CU69)</f>
        <v>0</v>
      </c>
      <c r="M70" s="200">
        <f>IF($F$2&gt;=M$2,Input!CV189,Input!CV69)</f>
        <v>0</v>
      </c>
      <c r="N70" s="200">
        <f>IF($F$2&gt;=N$2,Input!CW189,Input!CW69)</f>
        <v>0</v>
      </c>
      <c r="O70" s="200">
        <f>IF($F$2&gt;=O$2,Input!CX189,Input!CX69)</f>
        <v>0</v>
      </c>
      <c r="P70" s="200">
        <f>IF($F$2&gt;=P$2,Input!CY189,Input!CY69)</f>
        <v>0</v>
      </c>
      <c r="Q70" s="200">
        <f>IF($F$2&gt;=Q$2,Input!CZ189,Input!CZ69)</f>
        <v>0</v>
      </c>
      <c r="R70" s="200">
        <f>IF($F$2&gt;=R$2,Input!DA189,Input!DA69)</f>
        <v>0</v>
      </c>
      <c r="S70" s="200">
        <f>IF($F$2&gt;=S$2,Input!DB189,Input!DB69)</f>
        <v>0</v>
      </c>
      <c r="T70" s="200">
        <f>IF($F$2&gt;=T$2,Input!DC189,Input!DC69)</f>
        <v>0</v>
      </c>
      <c r="U70" s="368">
        <f t="shared" si="35"/>
        <v>0</v>
      </c>
      <c r="V70" s="368">
        <f>-U70+H70</f>
        <v>0</v>
      </c>
      <c r="W70" s="255" t="str">
        <f t="shared" si="34"/>
        <v/>
      </c>
      <c r="X70" s="187"/>
      <c r="Y70" s="254"/>
      <c r="Z70" s="202"/>
      <c r="AA70" s="202"/>
      <c r="AB70" s="202"/>
      <c r="AC70" t="s">
        <v>163</v>
      </c>
    </row>
    <row r="71" spans="1:29" ht="16.5" x14ac:dyDescent="0.3">
      <c r="A71" s="196"/>
      <c r="B71" s="197"/>
      <c r="C71" s="198"/>
      <c r="D71" s="207" t="s">
        <v>324</v>
      </c>
      <c r="E71" s="207"/>
      <c r="F71" s="207"/>
      <c r="G71" s="213">
        <v>4</v>
      </c>
      <c r="H71" s="208">
        <f>SUM(H68:H70)</f>
        <v>11032522795.134399</v>
      </c>
      <c r="I71" s="208">
        <f>SUM(I68:I70)</f>
        <v>314068392.13999999</v>
      </c>
      <c r="J71" s="208">
        <f t="shared" ref="J71:T71" si="36">SUM(J68:J70)</f>
        <v>715284437.31999993</v>
      </c>
      <c r="K71" s="208">
        <f t="shared" si="36"/>
        <v>728413654.39999998</v>
      </c>
      <c r="L71" s="208">
        <f t="shared" si="36"/>
        <v>749074322.60570002</v>
      </c>
      <c r="M71" s="208">
        <f t="shared" si="36"/>
        <v>799653349.12810004</v>
      </c>
      <c r="N71" s="208">
        <f t="shared" si="36"/>
        <v>1108183313.9589322</v>
      </c>
      <c r="O71" s="208">
        <f t="shared" si="36"/>
        <v>1097652353.7733834</v>
      </c>
      <c r="P71" s="208">
        <f t="shared" si="36"/>
        <v>1090187754.5335217</v>
      </c>
      <c r="Q71" s="208">
        <f t="shared" si="36"/>
        <v>1190619217.1747746</v>
      </c>
      <c r="R71" s="208">
        <f t="shared" si="36"/>
        <v>1251454673.252748</v>
      </c>
      <c r="S71" s="208">
        <f t="shared" si="36"/>
        <v>1195254570.6289668</v>
      </c>
      <c r="T71" s="208">
        <f t="shared" si="36"/>
        <v>1235634100.369782</v>
      </c>
      <c r="U71" s="370">
        <f t="shared" ref="U71" si="37">SUM(U68:U70)</f>
        <v>11475480139.28591</v>
      </c>
      <c r="V71" s="370">
        <f>-U71+H71</f>
        <v>-442957344.15151024</v>
      </c>
      <c r="W71" s="337">
        <f t="shared" si="34"/>
        <v>-4.0150140849640012E-2</v>
      </c>
      <c r="X71" s="187"/>
      <c r="Y71" s="254"/>
      <c r="Z71" s="202"/>
      <c r="AA71" s="202"/>
      <c r="AB71" s="202"/>
      <c r="AC71" t="s">
        <v>163</v>
      </c>
    </row>
    <row r="72" spans="1:29" ht="16.5" x14ac:dyDescent="0.3">
      <c r="A72" s="196"/>
      <c r="B72" s="197"/>
      <c r="C72" s="198"/>
      <c r="D72" s="207"/>
      <c r="E72" s="207"/>
      <c r="F72" s="207"/>
      <c r="G72" s="213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368"/>
      <c r="V72" s="368"/>
      <c r="W72" s="203"/>
      <c r="X72" s="187"/>
      <c r="Y72" s="254"/>
      <c r="Z72" s="202"/>
      <c r="AA72" s="202"/>
      <c r="AB72" s="202"/>
      <c r="AC72" t="s">
        <v>163</v>
      </c>
    </row>
    <row r="73" spans="1:29" ht="16.5" x14ac:dyDescent="0.3">
      <c r="A73" s="205"/>
      <c r="B73" s="206"/>
      <c r="C73" s="198"/>
      <c r="D73" s="198" t="s">
        <v>235</v>
      </c>
      <c r="E73" s="207"/>
      <c r="F73" s="207"/>
      <c r="G73" s="213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368"/>
      <c r="V73" s="368"/>
      <c r="W73" s="203"/>
      <c r="X73" s="187"/>
      <c r="Y73" s="254"/>
      <c r="Z73" s="210"/>
      <c r="AA73" s="210"/>
      <c r="AB73" s="210"/>
      <c r="AC73" t="s">
        <v>163</v>
      </c>
    </row>
    <row r="74" spans="1:29" ht="16.5" x14ac:dyDescent="0.3">
      <c r="A74" s="205"/>
      <c r="B74" s="206"/>
      <c r="C74" s="198"/>
      <c r="D74" s="198"/>
      <c r="E74" s="198" t="s">
        <v>238</v>
      </c>
      <c r="F74" s="198"/>
      <c r="G74" s="199">
        <v>52</v>
      </c>
      <c r="H74" s="200">
        <f>Input!Q75</f>
        <v>0</v>
      </c>
      <c r="I74" s="200">
        <f>IF($F$2&gt;=I$2,Input!CR195,Input!CR75)</f>
        <v>0</v>
      </c>
      <c r="J74" s="200">
        <f>IF($F$2&gt;=J$2,Input!CS195,Input!CS75)</f>
        <v>0</v>
      </c>
      <c r="K74" s="200">
        <f>IF($F$2&gt;=K$2,Input!CT195,Input!CT75)</f>
        <v>0</v>
      </c>
      <c r="L74" s="200">
        <f>IF($F$2&gt;=L$2,Input!CU195,Input!CU75)</f>
        <v>0</v>
      </c>
      <c r="M74" s="200">
        <f>IF($F$2&gt;=M$2,Input!CV195,Input!CV75)</f>
        <v>0</v>
      </c>
      <c r="N74" s="200">
        <f>IF($F$2&gt;=N$2,Input!CW195,Input!CW75)</f>
        <v>0</v>
      </c>
      <c r="O74" s="200">
        <f>IF($F$2&gt;=O$2,Input!CX195,Input!CX75)</f>
        <v>0</v>
      </c>
      <c r="P74" s="200">
        <f>IF($F$2&gt;=P$2,Input!CY195,Input!CY75)</f>
        <v>0</v>
      </c>
      <c r="Q74" s="200">
        <f>IF($F$2&gt;=Q$2,Input!CZ195,Input!CZ75)</f>
        <v>0</v>
      </c>
      <c r="R74" s="200">
        <f>IF($F$2&gt;=R$2,Input!DA195,Input!DA75)</f>
        <v>0</v>
      </c>
      <c r="S74" s="200">
        <f>IF($F$2&gt;=S$2,Input!DB195,Input!DB75)</f>
        <v>0</v>
      </c>
      <c r="T74" s="200">
        <f>IF($F$2&gt;=T$2,Input!DC195,Input!DC75)</f>
        <v>0</v>
      </c>
      <c r="U74" s="368">
        <f>+SUM(I74:T74)</f>
        <v>0</v>
      </c>
      <c r="V74" s="368">
        <f t="shared" ref="V74:V79" si="38">-U74+H74</f>
        <v>0</v>
      </c>
      <c r="W74" s="255" t="str">
        <f t="shared" ref="W74:W79" si="39">IFERROR(+V74/H74,"")</f>
        <v/>
      </c>
      <c r="X74" s="187"/>
      <c r="Y74" s="254"/>
      <c r="Z74" s="210"/>
      <c r="AA74" s="210"/>
      <c r="AB74" s="210"/>
      <c r="AC74" t="s">
        <v>163</v>
      </c>
    </row>
    <row r="75" spans="1:29" ht="16.5" x14ac:dyDescent="0.3">
      <c r="A75" s="205"/>
      <c r="B75" s="206"/>
      <c r="C75" s="198"/>
      <c r="D75" s="198"/>
      <c r="E75" s="388" t="s">
        <v>243</v>
      </c>
      <c r="F75" s="198"/>
      <c r="G75" s="199"/>
      <c r="H75" s="200">
        <f>Input!Q78</f>
        <v>0</v>
      </c>
      <c r="I75" s="200">
        <f>IF($F$2&gt;=I$2,Input!CR198,Input!CR78)</f>
        <v>0</v>
      </c>
      <c r="J75" s="200">
        <f>IF($F$2&gt;=J$2,Input!CS198,Input!CS78)</f>
        <v>0</v>
      </c>
      <c r="K75" s="200">
        <f>IF($F$2&gt;=K$2,Input!CT198,Input!CT78)</f>
        <v>0</v>
      </c>
      <c r="L75" s="200">
        <f>IF($F$2&gt;=L$2,Input!CU198,Input!CU78)</f>
        <v>0</v>
      </c>
      <c r="M75" s="200">
        <f>IF($F$2&gt;=M$2,Input!CV198,Input!CV78)</f>
        <v>0</v>
      </c>
      <c r="N75" s="200">
        <f>IF($F$2&gt;=N$2,Input!CW198,Input!CW78)</f>
        <v>0</v>
      </c>
      <c r="O75" s="200">
        <f>IF($F$2&gt;=O$2,Input!CX198,Input!CX78)</f>
        <v>0</v>
      </c>
      <c r="P75" s="200">
        <f>IF($F$2&gt;=P$2,Input!CY198,Input!CY78)</f>
        <v>0</v>
      </c>
      <c r="Q75" s="200">
        <f>IF($F$2&gt;=Q$2,Input!CZ198,Input!CZ78)</f>
        <v>0</v>
      </c>
      <c r="R75" s="200">
        <f>IF($F$2&gt;=R$2,Input!DA198,Input!DA78)</f>
        <v>0</v>
      </c>
      <c r="S75" s="200">
        <f>IF($F$2&gt;=S$2,Input!DB198,Input!DB78)</f>
        <v>0</v>
      </c>
      <c r="T75" s="200">
        <f>IF($F$2&gt;=T$2,Input!DC198,Input!DC78)</f>
        <v>0</v>
      </c>
      <c r="U75" s="368">
        <f>+SUM(I75:T75)</f>
        <v>0</v>
      </c>
      <c r="V75" s="368">
        <f t="shared" si="38"/>
        <v>0</v>
      </c>
      <c r="W75" s="255" t="str">
        <f t="shared" si="39"/>
        <v/>
      </c>
      <c r="X75" s="187"/>
      <c r="Y75" s="254"/>
      <c r="Z75" s="210"/>
      <c r="AA75" s="210"/>
      <c r="AB75" s="210"/>
    </row>
    <row r="76" spans="1:29" ht="16.5" x14ac:dyDescent="0.3">
      <c r="A76" s="205"/>
      <c r="B76" s="206"/>
      <c r="C76" s="198"/>
      <c r="D76" s="198"/>
      <c r="E76" s="198" t="s">
        <v>220</v>
      </c>
      <c r="F76" s="198"/>
      <c r="G76" s="199" t="s">
        <v>325</v>
      </c>
      <c r="H76" s="200">
        <f>Input!Q83</f>
        <v>0</v>
      </c>
      <c r="I76" s="200">
        <f>IF($F$2&gt;=I$2,Input!CR203,Input!CR83)</f>
        <v>0</v>
      </c>
      <c r="J76" s="200">
        <f>IF($F$2&gt;=J$2,Input!CS203,Input!CS83)</f>
        <v>0</v>
      </c>
      <c r="K76" s="200">
        <f>IF($F$2&gt;=K$2,Input!CT203,Input!CT83)</f>
        <v>0</v>
      </c>
      <c r="L76" s="200">
        <f>IF($F$2&gt;=L$2,Input!CU203,Input!CU83)</f>
        <v>0</v>
      </c>
      <c r="M76" s="200">
        <f>IF($F$2&gt;=M$2,Input!CV203,Input!CV83)</f>
        <v>0</v>
      </c>
      <c r="N76" s="200">
        <f>IF($F$2&gt;=N$2,Input!CW203,Input!CW83)</f>
        <v>0</v>
      </c>
      <c r="O76" s="200">
        <f>IF($F$2&gt;=O$2,Input!CX203,Input!CX83)</f>
        <v>0</v>
      </c>
      <c r="P76" s="200">
        <f>IF($F$2&gt;=P$2,Input!CY203,Input!CY83)</f>
        <v>0</v>
      </c>
      <c r="Q76" s="200">
        <f>IF($F$2&gt;=Q$2,Input!CZ203,Input!CZ83)</f>
        <v>0</v>
      </c>
      <c r="R76" s="200">
        <f>IF($F$2&gt;=R$2,Input!DA203,Input!DA83)</f>
        <v>0</v>
      </c>
      <c r="S76" s="200">
        <f>IF($F$2&gt;=S$2,Input!DB203,Input!DB83)</f>
        <v>0</v>
      </c>
      <c r="T76" s="200">
        <f>IF($F$2&gt;=T$2,Input!DC203,Input!DC83)</f>
        <v>0</v>
      </c>
      <c r="U76" s="368">
        <f t="shared" ref="U76:U78" si="40">+SUM(I76:T76)</f>
        <v>0</v>
      </c>
      <c r="V76" s="368">
        <f t="shared" si="38"/>
        <v>0</v>
      </c>
      <c r="W76" s="255" t="str">
        <f t="shared" si="39"/>
        <v/>
      </c>
      <c r="X76" s="187"/>
      <c r="Y76" s="254"/>
      <c r="Z76" s="210"/>
      <c r="AA76" s="210"/>
      <c r="AB76" s="210"/>
      <c r="AC76" t="s">
        <v>163</v>
      </c>
    </row>
    <row r="77" spans="1:29" ht="16.5" x14ac:dyDescent="0.3">
      <c r="A77" s="205"/>
      <c r="B77" s="206"/>
      <c r="C77" s="198"/>
      <c r="D77" s="198"/>
      <c r="E77" s="198" t="s">
        <v>247</v>
      </c>
      <c r="F77" s="198"/>
      <c r="G77" s="199">
        <v>58</v>
      </c>
      <c r="H77" s="200">
        <f>Input!Q84</f>
        <v>0</v>
      </c>
      <c r="I77" s="200">
        <f>IF($F$2&gt;=I$2,Input!CR204,Input!CR84)</f>
        <v>0</v>
      </c>
      <c r="J77" s="200">
        <f>IF($F$2&gt;=J$2,Input!CS204,Input!CS84)</f>
        <v>0</v>
      </c>
      <c r="K77" s="200">
        <f>IF($F$2&gt;=K$2,Input!CT204,Input!CT84)</f>
        <v>0</v>
      </c>
      <c r="L77" s="200">
        <f>IF($F$2&gt;=L$2,Input!CU204,Input!CU84)</f>
        <v>0</v>
      </c>
      <c r="M77" s="200">
        <f>IF($F$2&gt;=M$2,Input!CV204,Input!CV84)</f>
        <v>0</v>
      </c>
      <c r="N77" s="200">
        <f>IF($F$2&gt;=N$2,Input!CW204,Input!CW84)</f>
        <v>0</v>
      </c>
      <c r="O77" s="200">
        <f>IF($F$2&gt;=O$2,Input!CX204,Input!CX84)</f>
        <v>0</v>
      </c>
      <c r="P77" s="200">
        <f>IF($F$2&gt;=P$2,Input!CY204,Input!CY84)</f>
        <v>0</v>
      </c>
      <c r="Q77" s="200">
        <f>IF($F$2&gt;=Q$2,Input!CZ204,Input!CZ84)</f>
        <v>0</v>
      </c>
      <c r="R77" s="200">
        <f>IF($F$2&gt;=R$2,Input!DA204,Input!DA84)</f>
        <v>0</v>
      </c>
      <c r="S77" s="200">
        <f>IF($F$2&gt;=S$2,Input!DB204,Input!DB84)</f>
        <v>0</v>
      </c>
      <c r="T77" s="200">
        <f>IF($F$2&gt;=T$2,Input!DC204,Input!DC84)</f>
        <v>0</v>
      </c>
      <c r="U77" s="368">
        <f t="shared" si="40"/>
        <v>0</v>
      </c>
      <c r="V77" s="368">
        <f t="shared" si="38"/>
        <v>0</v>
      </c>
      <c r="W77" s="255" t="str">
        <f t="shared" si="39"/>
        <v/>
      </c>
      <c r="X77" s="187"/>
      <c r="Y77" s="254"/>
      <c r="Z77" s="210"/>
      <c r="AA77" s="210"/>
      <c r="AB77" s="210"/>
      <c r="AC77" t="s">
        <v>163</v>
      </c>
    </row>
    <row r="78" spans="1:29" ht="16.5" x14ac:dyDescent="0.3">
      <c r="A78" s="196"/>
      <c r="B78" s="197"/>
      <c r="C78" s="198"/>
      <c r="D78" s="198"/>
      <c r="E78" s="198" t="s">
        <v>249</v>
      </c>
      <c r="F78" s="198"/>
      <c r="G78" s="199" t="s">
        <v>326</v>
      </c>
      <c r="H78" s="200">
        <f>Input!Q85</f>
        <v>0</v>
      </c>
      <c r="I78" s="200">
        <f>IF($F$2&gt;=I$2,Input!CR205,Input!CR85)</f>
        <v>0</v>
      </c>
      <c r="J78" s="200">
        <f>IF($F$2&gt;=J$2,Input!CS205,Input!CS85)</f>
        <v>0</v>
      </c>
      <c r="K78" s="200">
        <f>IF($F$2&gt;=K$2,Input!CT205,Input!CT85)</f>
        <v>0</v>
      </c>
      <c r="L78" s="200">
        <f>IF($F$2&gt;=L$2,Input!CU205,Input!CU85)</f>
        <v>0</v>
      </c>
      <c r="M78" s="200">
        <f>IF($F$2&gt;=M$2,Input!CV205,Input!CV85)</f>
        <v>0</v>
      </c>
      <c r="N78" s="200">
        <f>IF($F$2&gt;=N$2,Input!CW205,Input!CW85)</f>
        <v>0</v>
      </c>
      <c r="O78" s="200">
        <f>IF($F$2&gt;=O$2,Input!CX205,Input!CX85)</f>
        <v>0</v>
      </c>
      <c r="P78" s="200">
        <f>IF($F$2&gt;=P$2,Input!CY205,Input!CY85)</f>
        <v>0</v>
      </c>
      <c r="Q78" s="200">
        <f>IF($F$2&gt;=Q$2,Input!CZ205,Input!CZ85)</f>
        <v>0</v>
      </c>
      <c r="R78" s="200">
        <f>IF($F$2&gt;=R$2,Input!DA205,Input!DA85)</f>
        <v>0</v>
      </c>
      <c r="S78" s="200">
        <f>IF($F$2&gt;=S$2,Input!DB205,Input!DB85)</f>
        <v>0</v>
      </c>
      <c r="T78" s="200">
        <f>IF($F$2&gt;=T$2,Input!DC205,Input!DC85)</f>
        <v>0</v>
      </c>
      <c r="U78" s="368">
        <f t="shared" si="40"/>
        <v>0</v>
      </c>
      <c r="V78" s="368">
        <f t="shared" si="38"/>
        <v>0</v>
      </c>
      <c r="W78" s="255" t="str">
        <f t="shared" si="39"/>
        <v/>
      </c>
      <c r="X78" s="201"/>
      <c r="Y78" s="219"/>
      <c r="Z78" s="202"/>
      <c r="AA78" s="202"/>
      <c r="AB78" s="202"/>
      <c r="AC78" t="s">
        <v>163</v>
      </c>
    </row>
    <row r="79" spans="1:29" ht="16.5" x14ac:dyDescent="0.3">
      <c r="A79" s="196"/>
      <c r="B79" s="197"/>
      <c r="C79" s="198"/>
      <c r="D79" s="207" t="s">
        <v>313</v>
      </c>
      <c r="E79" s="198"/>
      <c r="F79" s="198"/>
      <c r="G79" s="213"/>
      <c r="H79" s="208">
        <f>SUM(H74:H78)</f>
        <v>0</v>
      </c>
      <c r="I79" s="208">
        <f>SUM(I74:I78)</f>
        <v>0</v>
      </c>
      <c r="J79" s="208">
        <f t="shared" ref="J79:T79" si="41">SUM(J74:J78)</f>
        <v>0</v>
      </c>
      <c r="K79" s="208">
        <f t="shared" si="41"/>
        <v>0</v>
      </c>
      <c r="L79" s="208">
        <f t="shared" si="41"/>
        <v>0</v>
      </c>
      <c r="M79" s="208">
        <f t="shared" si="41"/>
        <v>0</v>
      </c>
      <c r="N79" s="208">
        <f t="shared" si="41"/>
        <v>0</v>
      </c>
      <c r="O79" s="208">
        <f t="shared" si="41"/>
        <v>0</v>
      </c>
      <c r="P79" s="208">
        <f t="shared" si="41"/>
        <v>0</v>
      </c>
      <c r="Q79" s="208">
        <f t="shared" si="41"/>
        <v>0</v>
      </c>
      <c r="R79" s="208">
        <f t="shared" si="41"/>
        <v>0</v>
      </c>
      <c r="S79" s="208">
        <f t="shared" si="41"/>
        <v>0</v>
      </c>
      <c r="T79" s="208">
        <f t="shared" si="41"/>
        <v>0</v>
      </c>
      <c r="U79" s="370">
        <f t="shared" ref="U79" si="42">SUM(U74:U78)</f>
        <v>0</v>
      </c>
      <c r="V79" s="370">
        <f t="shared" si="38"/>
        <v>0</v>
      </c>
      <c r="W79" s="337" t="str">
        <f t="shared" si="39"/>
        <v/>
      </c>
      <c r="X79" s="201"/>
      <c r="Y79" s="219"/>
      <c r="Z79" s="202"/>
      <c r="AA79" s="202"/>
      <c r="AB79" s="202"/>
      <c r="AC79" t="s">
        <v>163</v>
      </c>
    </row>
    <row r="80" spans="1:29" ht="16.5" x14ac:dyDescent="0.3">
      <c r="A80" s="196"/>
      <c r="B80" s="197"/>
      <c r="C80" s="198"/>
      <c r="D80" s="198"/>
      <c r="E80" s="198"/>
      <c r="F80" s="198"/>
      <c r="G80" s="213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368"/>
      <c r="V80" s="368"/>
      <c r="W80" s="203"/>
      <c r="X80" s="201"/>
      <c r="Y80" s="219"/>
      <c r="Z80" s="202"/>
      <c r="AA80" s="202"/>
      <c r="AB80" s="202"/>
      <c r="AC80" t="s">
        <v>163</v>
      </c>
    </row>
    <row r="81" spans="1:29" ht="16.5" x14ac:dyDescent="0.3">
      <c r="A81" s="196"/>
      <c r="B81" s="197"/>
      <c r="C81" s="198"/>
      <c r="D81" s="198" t="s">
        <v>257</v>
      </c>
      <c r="E81" s="207"/>
      <c r="F81" s="207"/>
      <c r="G81" s="213"/>
      <c r="H81" s="200">
        <f>Input!Q92</f>
        <v>0</v>
      </c>
      <c r="I81" s="200">
        <f>IF($F$2&gt;=I$2,Input!CR212,Input!CR92)</f>
        <v>0</v>
      </c>
      <c r="J81" s="200">
        <f>IF($F$2&gt;=J$2,Input!CS212,Input!CS92)</f>
        <v>0</v>
      </c>
      <c r="K81" s="200">
        <f>IF($F$2&gt;=K$2,Input!CT212,Input!CT92)</f>
        <v>0</v>
      </c>
      <c r="L81" s="200">
        <f>IF($F$2&gt;=L$2,Input!CU212,Input!CU92)</f>
        <v>0</v>
      </c>
      <c r="M81" s="200">
        <f>IF($F$2&gt;=M$2,Input!CV212,Input!CV92)</f>
        <v>0</v>
      </c>
      <c r="N81" s="200">
        <f>IF($F$2&gt;=N$2,Input!CW212,Input!CW92)</f>
        <v>0</v>
      </c>
      <c r="O81" s="200">
        <f>IF($F$2&gt;=O$2,Input!CX212,Input!CX92)</f>
        <v>0</v>
      </c>
      <c r="P81" s="200">
        <f>IF($F$2&gt;=P$2,Input!CY212,Input!CY92)</f>
        <v>0</v>
      </c>
      <c r="Q81" s="200">
        <f>IF($F$2&gt;=Q$2,Input!CZ212,Input!CZ92)</f>
        <v>0</v>
      </c>
      <c r="R81" s="200">
        <f>IF($F$2&gt;=R$2,Input!DA212,Input!DA92)</f>
        <v>0</v>
      </c>
      <c r="S81" s="200">
        <f>IF($F$2&gt;=S$2,Input!DB212,Input!DB92)</f>
        <v>0</v>
      </c>
      <c r="T81" s="200">
        <f>IF($F$2&gt;=T$2,Input!DC212,Input!DC92)</f>
        <v>0</v>
      </c>
      <c r="U81" s="368">
        <f t="shared" ref="U81" si="43">+SUM(I81:T81)</f>
        <v>0</v>
      </c>
      <c r="V81" s="368">
        <f>-U81+H81</f>
        <v>0</v>
      </c>
      <c r="W81" s="255" t="str">
        <f>IFERROR(+V81/H81,"")</f>
        <v/>
      </c>
      <c r="X81" s="201"/>
      <c r="Y81" s="219"/>
      <c r="Z81" s="202"/>
      <c r="AA81" s="202"/>
      <c r="AB81" s="202"/>
      <c r="AC81" t="s">
        <v>163</v>
      </c>
    </row>
    <row r="82" spans="1:29" ht="16.5" x14ac:dyDescent="0.3">
      <c r="A82" s="196"/>
      <c r="B82" s="197"/>
      <c r="C82" s="198"/>
      <c r="D82" s="198"/>
      <c r="E82" s="207"/>
      <c r="F82" s="207"/>
      <c r="G82" s="213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368"/>
      <c r="V82" s="368"/>
      <c r="W82" s="255"/>
      <c r="X82" s="201"/>
      <c r="Y82" s="219"/>
      <c r="Z82" s="202"/>
      <c r="AA82" s="202"/>
      <c r="AB82" s="202"/>
      <c r="AC82" t="s">
        <v>163</v>
      </c>
    </row>
    <row r="83" spans="1:29" ht="16.5" x14ac:dyDescent="0.3">
      <c r="A83" s="196"/>
      <c r="B83" s="197"/>
      <c r="C83" s="207" t="s">
        <v>258</v>
      </c>
      <c r="D83" s="207"/>
      <c r="E83" s="207"/>
      <c r="F83" s="229"/>
      <c r="G83" s="258"/>
      <c r="H83" s="208">
        <f>+H71+H81+H79</f>
        <v>11032522795.134399</v>
      </c>
      <c r="I83" s="208">
        <f>+I71+I81+I79</f>
        <v>314068392.13999999</v>
      </c>
      <c r="J83" s="208">
        <f t="shared" ref="J83:T83" si="44">+J71+J81+J79</f>
        <v>715284437.31999993</v>
      </c>
      <c r="K83" s="208">
        <f t="shared" si="44"/>
        <v>728413654.39999998</v>
      </c>
      <c r="L83" s="208">
        <f t="shared" si="44"/>
        <v>749074322.60570002</v>
      </c>
      <c r="M83" s="208">
        <f t="shared" si="44"/>
        <v>799653349.12810004</v>
      </c>
      <c r="N83" s="208">
        <f t="shared" si="44"/>
        <v>1108183313.9589322</v>
      </c>
      <c r="O83" s="208">
        <f t="shared" si="44"/>
        <v>1097652353.7733834</v>
      </c>
      <c r="P83" s="208">
        <f t="shared" si="44"/>
        <v>1090187754.5335217</v>
      </c>
      <c r="Q83" s="208">
        <f t="shared" si="44"/>
        <v>1190619217.1747746</v>
      </c>
      <c r="R83" s="208">
        <f t="shared" si="44"/>
        <v>1251454673.252748</v>
      </c>
      <c r="S83" s="208">
        <f t="shared" si="44"/>
        <v>1195254570.6289668</v>
      </c>
      <c r="T83" s="208">
        <f t="shared" si="44"/>
        <v>1235634100.369782</v>
      </c>
      <c r="U83" s="370">
        <f t="shared" ref="U83:V83" si="45">+U71+U81+U79</f>
        <v>11475480139.28591</v>
      </c>
      <c r="V83" s="370">
        <f t="shared" si="45"/>
        <v>-442957344.15151024</v>
      </c>
      <c r="W83" s="337">
        <f>IFERROR(+V83/H83,"")</f>
        <v>-4.0150140849640012E-2</v>
      </c>
      <c r="X83" s="201"/>
      <c r="Y83" s="219"/>
      <c r="Z83" s="202"/>
      <c r="AA83" s="202"/>
      <c r="AB83" s="202"/>
      <c r="AC83" t="s">
        <v>163</v>
      </c>
    </row>
    <row r="84" spans="1:29" ht="16.5" x14ac:dyDescent="0.3">
      <c r="A84" s="205"/>
      <c r="B84" s="206"/>
      <c r="C84" s="207"/>
      <c r="D84" s="198"/>
      <c r="E84" s="207"/>
      <c r="F84" s="207"/>
      <c r="G84" s="213"/>
      <c r="H84" s="382"/>
      <c r="I84" s="382"/>
      <c r="J84" s="382"/>
      <c r="K84" s="382"/>
      <c r="L84" s="382"/>
      <c r="M84" s="382"/>
      <c r="N84" s="382"/>
      <c r="O84" s="382"/>
      <c r="P84" s="382"/>
      <c r="Q84" s="382"/>
      <c r="R84" s="382"/>
      <c r="S84" s="382"/>
      <c r="T84" s="382"/>
      <c r="U84" s="383"/>
      <c r="V84" s="383"/>
      <c r="W84" s="384"/>
      <c r="X84" s="201"/>
      <c r="Y84" s="219"/>
      <c r="Z84" s="210"/>
      <c r="AA84" s="210"/>
      <c r="AB84" s="210"/>
      <c r="AC84" t="s">
        <v>163</v>
      </c>
    </row>
    <row r="85" spans="1:29" ht="16.5" x14ac:dyDescent="0.3">
      <c r="A85" s="205"/>
      <c r="B85" s="206"/>
      <c r="C85" s="308" t="s">
        <v>481</v>
      </c>
      <c r="D85" s="308"/>
      <c r="E85" s="308"/>
      <c r="F85" s="308"/>
      <c r="G85" s="309"/>
      <c r="H85" s="325">
        <f t="shared" ref="H85:V85" si="46">+H15-H41-H83</f>
        <v>-11622522795.134399</v>
      </c>
      <c r="I85" s="325">
        <f t="shared" si="46"/>
        <v>-358090322.14999998</v>
      </c>
      <c r="J85" s="325">
        <f t="shared" si="46"/>
        <v>-762584519.81999993</v>
      </c>
      <c r="K85" s="325">
        <f t="shared" si="46"/>
        <v>-756205362.63999999</v>
      </c>
      <c r="L85" s="325">
        <f t="shared" si="46"/>
        <v>-780545929.56570005</v>
      </c>
      <c r="M85" s="325">
        <f t="shared" si="46"/>
        <v>-824406752.14810002</v>
      </c>
      <c r="N85" s="325">
        <f t="shared" si="46"/>
        <v>-1162834611.5060613</v>
      </c>
      <c r="O85" s="325">
        <f t="shared" si="46"/>
        <v>-1010762376.2034309</v>
      </c>
      <c r="P85" s="325">
        <f t="shared" si="46"/>
        <v>-1136265873.51759</v>
      </c>
      <c r="Q85" s="325">
        <f t="shared" si="46"/>
        <v>-1239407775.5482635</v>
      </c>
      <c r="R85" s="325">
        <f t="shared" si="46"/>
        <v>-1295546876.3463304</v>
      </c>
      <c r="S85" s="325">
        <f t="shared" si="46"/>
        <v>-1254243365.1725492</v>
      </c>
      <c r="T85" s="325">
        <f t="shared" si="46"/>
        <v>-1299028697.796777</v>
      </c>
      <c r="U85" s="372">
        <f>+U15-U41-U83</f>
        <v>-11879922462.414803</v>
      </c>
      <c r="V85" s="372">
        <f t="shared" si="46"/>
        <v>641789634.90015388</v>
      </c>
      <c r="W85" s="336">
        <f>IFERROR(+V85/H85,"")</f>
        <v>-5.521947740716239E-2</v>
      </c>
      <c r="X85" s="201"/>
      <c r="Y85" s="219"/>
      <c r="Z85" s="210"/>
      <c r="AA85" s="210"/>
      <c r="AB85" s="210"/>
      <c r="AC85" t="s">
        <v>163</v>
      </c>
    </row>
    <row r="86" spans="1:29" ht="16.5" x14ac:dyDescent="0.3">
      <c r="A86" s="205"/>
      <c r="B86" s="206"/>
      <c r="C86" s="198"/>
      <c r="D86" s="198"/>
      <c r="E86" s="198"/>
      <c r="F86" s="198"/>
      <c r="G86" s="199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368"/>
      <c r="V86" s="368"/>
      <c r="W86" s="203"/>
      <c r="X86" s="201"/>
      <c r="Y86" s="219"/>
      <c r="Z86" s="210"/>
      <c r="AA86" s="210"/>
      <c r="AB86" s="210"/>
      <c r="AC86" t="s">
        <v>163</v>
      </c>
    </row>
    <row r="87" spans="1:29" ht="16.5" x14ac:dyDescent="0.3">
      <c r="A87" s="196"/>
      <c r="B87" s="197"/>
      <c r="C87" s="269" t="s">
        <v>178</v>
      </c>
      <c r="D87" s="348"/>
      <c r="E87" s="198"/>
      <c r="F87" s="198"/>
      <c r="G87" s="320">
        <v>22.2</v>
      </c>
      <c r="H87" s="344">
        <f>Input!Q24</f>
        <v>3739814767</v>
      </c>
      <c r="I87" s="200">
        <f>IF($F$2&gt;=I$2,Input!CR144,Input!CR24)</f>
        <v>0</v>
      </c>
      <c r="J87" s="200">
        <f>IF($F$2&gt;=J$2,Input!CS144,Input!CS24)</f>
        <v>438225000</v>
      </c>
      <c r="K87" s="200">
        <f>IF($F$2&gt;=K$2,Input!CT144,Input!CT24)</f>
        <v>438225000</v>
      </c>
      <c r="L87" s="200">
        <f>IF($F$2&gt;=L$2,Input!CU144,Input!CU24)</f>
        <v>0</v>
      </c>
      <c r="M87" s="200">
        <f>IF($F$2&gt;=M$2,Input!CV144,Input!CV24)</f>
        <v>300000000</v>
      </c>
      <c r="N87" s="200">
        <f>IF($F$2&gt;=N$2,Input!CW144,Input!CW24)</f>
        <v>485501141.61841416</v>
      </c>
      <c r="O87" s="200">
        <f>IF($F$2&gt;=O$2,Input!CX144,Input!CX24)</f>
        <v>652004049.14677906</v>
      </c>
      <c r="P87" s="200">
        <f>IF($F$2&gt;=P$2,Input!CY144,Input!CY24)</f>
        <v>483685274.81260371</v>
      </c>
      <c r="Q87" s="200">
        <f>IF($F$2&gt;=Q$2,Input!CZ144,Input!CZ24)</f>
        <v>430030259.96091521</v>
      </c>
      <c r="R87" s="200">
        <f>IF($F$2&gt;=R$2,Input!DA144,Input!DA24)</f>
        <v>613303691.14505875</v>
      </c>
      <c r="S87" s="200">
        <f>IF($F$2&gt;=S$2,Input!DB144,Input!DB24)</f>
        <v>293872654.51091683</v>
      </c>
      <c r="T87" s="200">
        <f>IF($F$2&gt;=T$2,Input!DC144,Input!DC24)</f>
        <v>553532463.42286646</v>
      </c>
      <c r="U87" s="368">
        <f>+SUM(I87:T87)</f>
        <v>4688379534.6175537</v>
      </c>
      <c r="V87" s="368">
        <f>-U87+H87</f>
        <v>-948564767.61755371</v>
      </c>
      <c r="W87" s="255">
        <f t="shared" ref="W87:W90" si="47">IFERROR(+V87/H87,"")</f>
        <v>-0.2536395053540238</v>
      </c>
      <c r="X87" s="187"/>
      <c r="Y87" s="254"/>
      <c r="Z87" s="202"/>
      <c r="AA87" s="202"/>
      <c r="AB87" s="202"/>
      <c r="AC87" t="s">
        <v>163</v>
      </c>
    </row>
    <row r="88" spans="1:29" ht="16.5" x14ac:dyDescent="0.3">
      <c r="A88" s="196"/>
      <c r="B88" s="197"/>
      <c r="C88" s="269" t="s">
        <v>182</v>
      </c>
      <c r="D88" s="348"/>
      <c r="E88" s="198"/>
      <c r="F88" s="198"/>
      <c r="G88" s="320">
        <v>22.4</v>
      </c>
      <c r="H88" s="344">
        <f>Input!Q26</f>
        <v>1500000000</v>
      </c>
      <c r="I88" s="200">
        <f>IF($F$2&gt;=I$2,Input!CR146,Input!CR26)</f>
        <v>0</v>
      </c>
      <c r="J88" s="200">
        <f>IF($F$2&gt;=J$2,Input!CS146,Input!CS26)</f>
        <v>200000000</v>
      </c>
      <c r="K88" s="200">
        <f>IF($F$2&gt;=K$2,Input!CT146,Input!CT26)</f>
        <v>200000000</v>
      </c>
      <c r="L88" s="200">
        <f>IF($F$2&gt;=L$2,Input!CU146,Input!CU26)</f>
        <v>150000000</v>
      </c>
      <c r="M88" s="200">
        <f>IF($F$2&gt;=M$2,Input!CV146,Input!CV26)</f>
        <v>150000000</v>
      </c>
      <c r="N88" s="200">
        <f>IF($F$2&gt;=N$2,Input!CW146,Input!CW26)</f>
        <v>150000000</v>
      </c>
      <c r="O88" s="200">
        <f>IF($F$2&gt;=O$2,Input!CX146,Input!CX26)</f>
        <v>150000000</v>
      </c>
      <c r="P88" s="200">
        <f>IF($F$2&gt;=P$2,Input!CY146,Input!CY26)</f>
        <v>150000000</v>
      </c>
      <c r="Q88" s="200">
        <f>IF($F$2&gt;=Q$2,Input!CZ146,Input!CZ26)</f>
        <v>150000000</v>
      </c>
      <c r="R88" s="200">
        <f>IF($F$2&gt;=R$2,Input!DA146,Input!DA26)</f>
        <v>100000000</v>
      </c>
      <c r="S88" s="200">
        <f>IF($F$2&gt;=S$2,Input!DB146,Input!DB26)</f>
        <v>100000000</v>
      </c>
      <c r="T88" s="200">
        <f>IF($F$2&gt;=T$2,Input!DC146,Input!DC26)</f>
        <v>0</v>
      </c>
      <c r="U88" s="368">
        <f>+SUM(I88:T88)</f>
        <v>1500000000</v>
      </c>
      <c r="V88" s="368">
        <f>-U88+H88</f>
        <v>0</v>
      </c>
      <c r="W88" s="255">
        <f t="shared" si="47"/>
        <v>0</v>
      </c>
      <c r="X88" s="187"/>
      <c r="Y88" s="254"/>
      <c r="Z88" s="202"/>
      <c r="AA88" s="202"/>
      <c r="AB88" s="202"/>
      <c r="AC88" t="s">
        <v>163</v>
      </c>
    </row>
    <row r="89" spans="1:29" ht="16.5" x14ac:dyDescent="0.3">
      <c r="A89" s="196"/>
      <c r="B89" s="197"/>
      <c r="C89" s="269" t="s">
        <v>184</v>
      </c>
      <c r="D89" s="348"/>
      <c r="E89" s="198"/>
      <c r="F89" s="198"/>
      <c r="G89" s="320">
        <v>22.1</v>
      </c>
      <c r="H89" s="437">
        <f>Input!Q27</f>
        <v>5792708028.1344004</v>
      </c>
      <c r="I89" s="200">
        <f>IF($F$2&gt;=I$2,Input!CR147,Input!CR27)</f>
        <v>0</v>
      </c>
      <c r="J89" s="200">
        <f>IF($F$2&gt;=J$2,Input!CS147,Input!CS27)</f>
        <v>0</v>
      </c>
      <c r="K89" s="200">
        <f>IF($F$2&gt;=K$2,Input!CT147,Input!CT27)</f>
        <v>117226139</v>
      </c>
      <c r="L89" s="200">
        <f>IF($F$2&gt;=L$2,Input!CU147,Input!CU27)</f>
        <v>0</v>
      </c>
      <c r="M89" s="200">
        <f>IF($F$2&gt;=M$2,Input!CV147,Input!CV27)</f>
        <v>0</v>
      </c>
      <c r="N89" s="200">
        <f>IF($F$2&gt;=N$2,Input!CW147,Input!CW27)</f>
        <v>195750000</v>
      </c>
      <c r="O89" s="200">
        <f>IF($F$2&gt;=O$2,Input!CX147,Input!CX27)</f>
        <v>154866000</v>
      </c>
      <c r="P89" s="200">
        <f>IF($F$2&gt;=P$2,Input!CY147,Input!CY27)</f>
        <v>762500000</v>
      </c>
      <c r="Q89" s="200">
        <f>IF($F$2&gt;=Q$2,Input!CZ147,Input!CZ27)</f>
        <v>295648304.62660432</v>
      </c>
      <c r="R89" s="200">
        <f>IF($F$2&gt;=R$2,Input!DA147,Input!DA27)</f>
        <v>456502479.72091794</v>
      </c>
      <c r="S89" s="200">
        <f>IF($F$2&gt;=S$2,Input!DB147,Input!DB27)</f>
        <v>610588957.21385944</v>
      </c>
      <c r="T89" s="200">
        <f>IF($F$2&gt;=T$2,Input!DC147,Input!DC27)</f>
        <v>538150982.10768926</v>
      </c>
      <c r="U89" s="368">
        <f>+SUM(I89:T89)</f>
        <v>3131232862.6690712</v>
      </c>
      <c r="V89" s="377">
        <f>-U89+H89</f>
        <v>2661475165.4653292</v>
      </c>
      <c r="W89" s="255">
        <f t="shared" si="47"/>
        <v>0.4594526692073731</v>
      </c>
      <c r="X89" s="187"/>
      <c r="Y89" s="254"/>
      <c r="Z89" s="202"/>
      <c r="AA89" s="202"/>
      <c r="AB89" s="202"/>
      <c r="AC89" t="s">
        <v>163</v>
      </c>
    </row>
    <row r="90" spans="1:29" ht="16.5" x14ac:dyDescent="0.3">
      <c r="A90" s="205"/>
      <c r="B90" s="206"/>
      <c r="C90" s="207" t="s">
        <v>309</v>
      </c>
      <c r="D90" s="198"/>
      <c r="E90" s="207"/>
      <c r="F90" s="230"/>
      <c r="G90" s="259"/>
      <c r="H90" s="211">
        <f>SUM(H87:H89)</f>
        <v>11032522795.134399</v>
      </c>
      <c r="I90" s="211">
        <f t="shared" ref="I90" si="48">SUM(I87:I89)</f>
        <v>0</v>
      </c>
      <c r="J90" s="211">
        <f t="shared" ref="J90:T90" si="49">SUM(J87:J89)</f>
        <v>638225000</v>
      </c>
      <c r="K90" s="211">
        <f t="shared" si="49"/>
        <v>755451139</v>
      </c>
      <c r="L90" s="211">
        <f t="shared" si="49"/>
        <v>150000000</v>
      </c>
      <c r="M90" s="211">
        <f t="shared" si="49"/>
        <v>450000000</v>
      </c>
      <c r="N90" s="211">
        <f t="shared" si="49"/>
        <v>831251141.61841416</v>
      </c>
      <c r="O90" s="211">
        <f t="shared" si="49"/>
        <v>956870049.14677906</v>
      </c>
      <c r="P90" s="211">
        <f t="shared" si="49"/>
        <v>1396185274.8126037</v>
      </c>
      <c r="Q90" s="211">
        <f t="shared" si="49"/>
        <v>875678564.58751953</v>
      </c>
      <c r="R90" s="211">
        <f t="shared" si="49"/>
        <v>1169806170.8659768</v>
      </c>
      <c r="S90" s="211">
        <f t="shared" si="49"/>
        <v>1004461611.7247763</v>
      </c>
      <c r="T90" s="211">
        <f t="shared" si="49"/>
        <v>1091683445.5305557</v>
      </c>
      <c r="U90" s="378">
        <f>SUM(I90:T90)</f>
        <v>9319612397.2866249</v>
      </c>
      <c r="V90" s="371">
        <f>-U90+H90</f>
        <v>1712910397.8477745</v>
      </c>
      <c r="W90" s="337">
        <f t="shared" si="47"/>
        <v>0.1552600823633202</v>
      </c>
      <c r="X90" s="201"/>
      <c r="Y90" s="219"/>
      <c r="Z90" s="210"/>
      <c r="AA90" s="210"/>
      <c r="AB90" s="210"/>
      <c r="AC90" t="s">
        <v>163</v>
      </c>
    </row>
    <row r="91" spans="1:29" ht="16.5" x14ac:dyDescent="0.3">
      <c r="A91" s="205"/>
      <c r="B91" s="206"/>
      <c r="C91" s="207"/>
      <c r="D91" s="198"/>
      <c r="E91" s="207"/>
      <c r="F91" s="207"/>
      <c r="G91" s="213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368"/>
      <c r="V91" s="368"/>
      <c r="W91" s="203"/>
      <c r="X91" s="201"/>
      <c r="Y91" s="219"/>
      <c r="Z91" s="210"/>
      <c r="AA91" s="210"/>
      <c r="AB91" s="210"/>
      <c r="AC91" t="s">
        <v>163</v>
      </c>
    </row>
    <row r="92" spans="1:29" ht="16.5" x14ac:dyDescent="0.3">
      <c r="A92" s="205"/>
      <c r="B92" s="206"/>
      <c r="C92" s="308" t="s">
        <v>482</v>
      </c>
      <c r="D92" s="227"/>
      <c r="E92" s="308"/>
      <c r="F92" s="308"/>
      <c r="G92" s="309"/>
      <c r="H92" s="319">
        <f>+H15+H47-H41-H83+H90</f>
        <v>200000000</v>
      </c>
      <c r="I92" s="319">
        <f>+I15+I47-I41-I83+I90</f>
        <v>-313922322.14999998</v>
      </c>
      <c r="J92" s="319">
        <f>+J15+J47-J41-J83+J90</f>
        <v>-63979519.819999933</v>
      </c>
      <c r="K92" s="319">
        <f t="shared" ref="K92:V92" si="50">+K15+K47-K41-K83+K90</f>
        <v>45245776.360000014</v>
      </c>
      <c r="L92" s="319">
        <f t="shared" si="50"/>
        <v>-585165929.56570005</v>
      </c>
      <c r="M92" s="319">
        <f t="shared" si="50"/>
        <v>-333098752.14810002</v>
      </c>
      <c r="N92" s="319">
        <f t="shared" si="50"/>
        <v>-268941310.88036895</v>
      </c>
      <c r="O92" s="319">
        <f t="shared" si="50"/>
        <v>7154256.8335447311</v>
      </c>
      <c r="P92" s="319">
        <f t="shared" si="50"/>
        <v>322881856.11423111</v>
      </c>
      <c r="Q92" s="319">
        <f t="shared" si="50"/>
        <v>-300879842.43873107</v>
      </c>
      <c r="R92" s="319">
        <f t="shared" si="50"/>
        <v>-62481812.748247147</v>
      </c>
      <c r="S92" s="319">
        <f t="shared" si="50"/>
        <v>-186487321.71566653</v>
      </c>
      <c r="T92" s="319">
        <f t="shared" si="50"/>
        <v>-139455767.65070224</v>
      </c>
      <c r="U92" s="319">
        <f t="shared" si="50"/>
        <v>-1879130689.809742</v>
      </c>
      <c r="V92" s="319">
        <f t="shared" si="50"/>
        <v>2463520657.429491</v>
      </c>
      <c r="W92" s="386">
        <f>IFERROR(+V92/H92,"")</f>
        <v>12.317603287147454</v>
      </c>
      <c r="X92" s="201"/>
      <c r="Y92" s="219"/>
      <c r="Z92" s="210"/>
      <c r="AA92" s="210"/>
      <c r="AB92" s="210"/>
      <c r="AC92" t="s">
        <v>163</v>
      </c>
    </row>
    <row r="93" spans="1:29" ht="17.25" thickBot="1" x14ac:dyDescent="0.35">
      <c r="A93" s="205"/>
      <c r="B93" s="315"/>
      <c r="C93" s="312"/>
      <c r="D93" s="312"/>
      <c r="E93" s="312"/>
      <c r="F93" s="312"/>
      <c r="G93" s="313"/>
      <c r="H93" s="374"/>
      <c r="I93" s="374"/>
      <c r="J93" s="374"/>
      <c r="K93" s="374"/>
      <c r="L93" s="374"/>
      <c r="M93" s="374"/>
      <c r="N93" s="374"/>
      <c r="O93" s="374"/>
      <c r="P93" s="374"/>
      <c r="Q93" s="374"/>
      <c r="R93" s="374"/>
      <c r="S93" s="374"/>
      <c r="T93" s="374"/>
      <c r="U93" s="375"/>
      <c r="V93" s="376"/>
      <c r="W93" s="338"/>
      <c r="X93" s="316"/>
      <c r="Y93" s="219"/>
      <c r="Z93" s="210"/>
      <c r="AA93" s="210"/>
      <c r="AB93" s="210"/>
      <c r="AC93" t="s">
        <v>163</v>
      </c>
    </row>
    <row r="94" spans="1:29" ht="16.5" x14ac:dyDescent="0.3">
      <c r="A94" s="196"/>
      <c r="B94" s="206"/>
      <c r="C94" s="198"/>
      <c r="D94" s="198"/>
      <c r="E94" s="198"/>
      <c r="F94" s="198"/>
      <c r="G94" s="199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66"/>
      <c r="V94" s="371"/>
      <c r="W94" s="255"/>
      <c r="X94" s="187"/>
      <c r="Y94" s="219"/>
      <c r="Z94" s="202"/>
      <c r="AA94" s="202"/>
      <c r="AB94" s="202"/>
      <c r="AC94" t="s">
        <v>163</v>
      </c>
    </row>
    <row r="95" spans="1:29" ht="16.5" x14ac:dyDescent="0.3">
      <c r="A95" s="196"/>
      <c r="B95" s="197"/>
      <c r="C95" s="321" t="s">
        <v>352</v>
      </c>
      <c r="D95" s="321"/>
      <c r="E95" s="321"/>
      <c r="F95" s="207"/>
      <c r="G95" s="213"/>
      <c r="H95" s="212"/>
      <c r="I95" s="212"/>
      <c r="J95" s="212"/>
      <c r="K95" s="212"/>
      <c r="L95" s="212"/>
      <c r="M95" s="212"/>
      <c r="N95" s="212"/>
      <c r="O95" s="212"/>
      <c r="P95" s="212"/>
      <c r="Q95" s="212"/>
      <c r="R95" s="212"/>
      <c r="S95" s="212"/>
      <c r="T95" s="212"/>
      <c r="U95" s="371"/>
      <c r="V95" s="371"/>
      <c r="W95" s="209"/>
      <c r="X95" s="201"/>
      <c r="Y95" s="219"/>
      <c r="Z95" s="202"/>
      <c r="AA95" s="202"/>
      <c r="AB95" s="202"/>
      <c r="AC95" t="s">
        <v>163</v>
      </c>
    </row>
    <row r="96" spans="1:29" ht="16.5" x14ac:dyDescent="0.3">
      <c r="A96" s="205"/>
      <c r="B96" s="206"/>
      <c r="C96" s="321"/>
      <c r="D96" s="228" t="s">
        <v>317</v>
      </c>
      <c r="E96" s="321"/>
      <c r="F96" s="207"/>
      <c r="G96" s="199" t="s">
        <v>327</v>
      </c>
      <c r="H96" s="214">
        <f>Input!Q116</f>
        <v>3505800000</v>
      </c>
      <c r="I96" s="200">
        <f>IF($F$2&gt;=I$2,Input!CR236,Input!CR116)</f>
        <v>238339392.13999999</v>
      </c>
      <c r="J96" s="200">
        <f>IF($F$2&gt;=J$2,Input!CS236,Input!CS116)</f>
        <v>444976437.31999999</v>
      </c>
      <c r="K96" s="200">
        <f>IF($F$2&gt;=K$2,Input!CT236,Input!CT116)</f>
        <v>444788654.39999998</v>
      </c>
      <c r="L96" s="200">
        <f>IF($F$2&gt;=L$2,Input!CU236,Input!CU116)</f>
        <v>527833322.60570002</v>
      </c>
      <c r="M96" s="200">
        <f>IF($F$2&gt;=M$2,Input!CV236,Input!CV116)</f>
        <v>577153349.12810004</v>
      </c>
      <c r="N96" s="200">
        <f>IF($F$2&gt;=N$2,Input!CW236,Input!CW116)</f>
        <v>485501141.61841416</v>
      </c>
      <c r="O96" s="200">
        <f>IF($F$2&gt;=O$2,Input!CX236,Input!CX116)</f>
        <v>652004049.14677906</v>
      </c>
      <c r="P96" s="200">
        <f>IF($F$2&gt;=P$2,Input!CY236,Input!CY116)</f>
        <v>483685274.81260371</v>
      </c>
      <c r="Q96" s="200">
        <f>IF($F$2&gt;=Q$2,Input!CZ236,Input!CZ116)</f>
        <v>430030259.96091521</v>
      </c>
      <c r="R96" s="200">
        <f>IF($F$2&gt;=R$2,Input!DA236,Input!DA116)</f>
        <v>613303691.14505875</v>
      </c>
      <c r="S96" s="200">
        <f>IF($F$2&gt;=S$2,Input!DB236,Input!DB116)</f>
        <v>293872654.51091683</v>
      </c>
      <c r="T96" s="200">
        <f>IF($F$2&gt;=T$2,Input!DC236,Input!DC116)</f>
        <v>553532463.42286646</v>
      </c>
      <c r="U96" s="368">
        <f>+SUM(I96:T96)</f>
        <v>5745020690.2113552</v>
      </c>
      <c r="V96" s="368">
        <f t="shared" ref="V96:V101" si="51">-U96+H96</f>
        <v>-2239220690.2113552</v>
      </c>
      <c r="W96" s="255">
        <f t="shared" ref="W96:W101" si="52">IFERROR(+V96/H96,"")</f>
        <v>-0.63871889161143114</v>
      </c>
      <c r="X96" s="201"/>
      <c r="Y96" s="436" t="s">
        <v>572</v>
      </c>
      <c r="Z96" s="210"/>
      <c r="AA96" s="210"/>
      <c r="AB96" s="210"/>
      <c r="AC96" t="s">
        <v>163</v>
      </c>
    </row>
    <row r="97" spans="1:29" ht="16.5" x14ac:dyDescent="0.3">
      <c r="A97" s="196"/>
      <c r="B97" s="197"/>
      <c r="C97" s="321"/>
      <c r="D97" s="228" t="s">
        <v>275</v>
      </c>
      <c r="E97" s="321"/>
      <c r="F97" s="207"/>
      <c r="G97" s="199" t="s">
        <v>125</v>
      </c>
      <c r="H97" s="200">
        <f>Input!Q117</f>
        <v>0</v>
      </c>
      <c r="I97" s="200">
        <f>IF($F$2&gt;=I$2,Input!CR237,Input!CR117)</f>
        <v>0</v>
      </c>
      <c r="J97" s="200">
        <f>IF($F$2&gt;=J$2,Input!CS237,Input!CS117)</f>
        <v>0</v>
      </c>
      <c r="K97" s="200">
        <f>IF($F$2&gt;=K$2,Input!CT237,Input!CT117)</f>
        <v>0</v>
      </c>
      <c r="L97" s="200">
        <f>IF($F$2&gt;=L$2,Input!CU237,Input!CU117)</f>
        <v>0</v>
      </c>
      <c r="M97" s="200">
        <f>IF($F$2&gt;=M$2,Input!CV237,Input!CV117)</f>
        <v>0</v>
      </c>
      <c r="N97" s="200">
        <f>IF($F$2&gt;=N$2,Input!CW237,Input!CW117)</f>
        <v>0</v>
      </c>
      <c r="O97" s="200">
        <f>IF($F$2&gt;=O$2,Input!CX237,Input!CX117)</f>
        <v>0</v>
      </c>
      <c r="P97" s="200">
        <f>IF($F$2&gt;=P$2,Input!CY237,Input!CY117)</f>
        <v>0</v>
      </c>
      <c r="Q97" s="200">
        <f>IF($F$2&gt;=Q$2,Input!CZ237,Input!CZ117)</f>
        <v>0</v>
      </c>
      <c r="R97" s="200">
        <f>IF($F$2&gt;=R$2,Input!DA237,Input!DA117)</f>
        <v>0</v>
      </c>
      <c r="S97" s="200">
        <f>IF($F$2&gt;=S$2,Input!DB237,Input!DB117)</f>
        <v>0</v>
      </c>
      <c r="T97" s="200">
        <f>IF($F$2&gt;=T$2,Input!DC237,Input!DC117)</f>
        <v>0</v>
      </c>
      <c r="U97" s="368">
        <f>+SUM(I97:T97)</f>
        <v>0</v>
      </c>
      <c r="V97" s="368">
        <f t="shared" si="51"/>
        <v>0</v>
      </c>
      <c r="W97" s="255" t="str">
        <f t="shared" si="52"/>
        <v/>
      </c>
      <c r="X97" s="201"/>
      <c r="Y97" s="436"/>
      <c r="Z97" s="202"/>
      <c r="AA97" s="202"/>
      <c r="AB97" s="202"/>
      <c r="AC97" t="s">
        <v>163</v>
      </c>
    </row>
    <row r="98" spans="1:29" ht="16.5" x14ac:dyDescent="0.3">
      <c r="A98" s="205"/>
      <c r="B98" s="206"/>
      <c r="C98" s="321"/>
      <c r="D98" s="228" t="s">
        <v>318</v>
      </c>
      <c r="E98" s="321"/>
      <c r="F98" s="207"/>
      <c r="G98" s="199" t="s">
        <v>126</v>
      </c>
      <c r="H98" s="200">
        <f>Input!Q118</f>
        <v>0</v>
      </c>
      <c r="I98" s="200">
        <f>IF($F$2&gt;=I$2,Input!CR238,Input!CR118)</f>
        <v>0</v>
      </c>
      <c r="J98" s="200">
        <f>IF($F$2&gt;=J$2,Input!CS238,Input!CS118)</f>
        <v>0</v>
      </c>
      <c r="K98" s="200">
        <f>IF($F$2&gt;=K$2,Input!CT238,Input!CT118)</f>
        <v>0</v>
      </c>
      <c r="L98" s="200">
        <f>IF($F$2&gt;=L$2,Input!CU238,Input!CU118)</f>
        <v>0</v>
      </c>
      <c r="M98" s="200">
        <f>IF($F$2&gt;=M$2,Input!CV238,Input!CV118)</f>
        <v>0</v>
      </c>
      <c r="N98" s="200">
        <f>IF($F$2&gt;=N$2,Input!CW238,Input!CW118)</f>
        <v>0</v>
      </c>
      <c r="O98" s="200">
        <f>IF($F$2&gt;=O$2,Input!CX238,Input!CX118)</f>
        <v>0</v>
      </c>
      <c r="P98" s="200">
        <f>IF($F$2&gt;=P$2,Input!CY238,Input!CY118)</f>
        <v>0</v>
      </c>
      <c r="Q98" s="200">
        <f>IF($F$2&gt;=Q$2,Input!CZ238,Input!CZ118)</f>
        <v>0</v>
      </c>
      <c r="R98" s="200">
        <f>IF($F$2&gt;=R$2,Input!DA238,Input!DA118)</f>
        <v>0</v>
      </c>
      <c r="S98" s="200">
        <f>IF($F$2&gt;=S$2,Input!DB238,Input!DB118)</f>
        <v>0</v>
      </c>
      <c r="T98" s="200">
        <f>IF($F$2&gt;=T$2,Input!DC238,Input!DC118)</f>
        <v>0</v>
      </c>
      <c r="U98" s="368">
        <f>+SUM(I98:T98)</f>
        <v>0</v>
      </c>
      <c r="V98" s="368">
        <f t="shared" si="51"/>
        <v>0</v>
      </c>
      <c r="W98" s="255" t="str">
        <f t="shared" si="52"/>
        <v/>
      </c>
      <c r="X98" s="201"/>
      <c r="Y98" s="436"/>
      <c r="Z98" s="210"/>
      <c r="AA98" s="210"/>
      <c r="AB98" s="210"/>
      <c r="AC98" t="s">
        <v>163</v>
      </c>
    </row>
    <row r="99" spans="1:29" ht="16.5" x14ac:dyDescent="0.3">
      <c r="A99" s="205"/>
      <c r="B99" s="206"/>
      <c r="C99" s="321"/>
      <c r="D99" s="228" t="s">
        <v>319</v>
      </c>
      <c r="E99" s="321"/>
      <c r="F99" s="207"/>
      <c r="G99" s="199" t="s">
        <v>127</v>
      </c>
      <c r="H99" s="200">
        <f>Input!Q119</f>
        <v>1500000000</v>
      </c>
      <c r="I99" s="200">
        <f>IF($F$2&gt;=I$2,Input!CR239,Input!CR119)</f>
        <v>0</v>
      </c>
      <c r="J99" s="200">
        <f>IF($F$2&gt;=J$2,Input!CS239,Input!CS119)</f>
        <v>200000000</v>
      </c>
      <c r="K99" s="200">
        <f>IF($F$2&gt;=K$2,Input!CT239,Input!CT119)</f>
        <v>200000000</v>
      </c>
      <c r="L99" s="200">
        <f>IF($F$2&gt;=L$2,Input!CU239,Input!CU119)</f>
        <v>150000000</v>
      </c>
      <c r="M99" s="200">
        <f>IF($F$2&gt;=M$2,Input!CV239,Input!CV119)</f>
        <v>150000000</v>
      </c>
      <c r="N99" s="200">
        <f>IF($F$2&gt;=N$2,Input!CW239,Input!CW119)</f>
        <v>150000000</v>
      </c>
      <c r="O99" s="200">
        <f>IF($F$2&gt;=O$2,Input!CX239,Input!CX119)</f>
        <v>150000000</v>
      </c>
      <c r="P99" s="200">
        <f>IF($F$2&gt;=P$2,Input!CY239,Input!CY119)</f>
        <v>150000000</v>
      </c>
      <c r="Q99" s="200">
        <f>IF($F$2&gt;=Q$2,Input!CZ239,Input!CZ119)</f>
        <v>150000000</v>
      </c>
      <c r="R99" s="200">
        <f>IF($F$2&gt;=R$2,Input!DA239,Input!DA119)</f>
        <v>100000000</v>
      </c>
      <c r="S99" s="200">
        <f>IF($F$2&gt;=S$2,Input!DB239,Input!DB119)</f>
        <v>100000000</v>
      </c>
      <c r="T99" s="200">
        <f>IF($F$2&gt;=T$2,Input!DC239,Input!DC119)</f>
        <v>0</v>
      </c>
      <c r="U99" s="368">
        <f>+SUM(I99:T99)</f>
        <v>1500000000</v>
      </c>
      <c r="V99" s="368">
        <f t="shared" si="51"/>
        <v>0</v>
      </c>
      <c r="W99" s="255">
        <f t="shared" si="52"/>
        <v>0</v>
      </c>
      <c r="X99" s="201"/>
      <c r="Y99" s="436" t="s">
        <v>572</v>
      </c>
      <c r="Z99" s="210"/>
      <c r="AA99" s="210"/>
      <c r="AB99" s="210"/>
      <c r="AC99" t="s">
        <v>163</v>
      </c>
    </row>
    <row r="100" spans="1:29" ht="16.5" x14ac:dyDescent="0.3">
      <c r="A100" s="205"/>
      <c r="B100" s="206"/>
      <c r="C100" s="321"/>
      <c r="D100" s="228" t="s">
        <v>282</v>
      </c>
      <c r="E100" s="321"/>
      <c r="F100" s="207"/>
      <c r="G100" s="199" t="s">
        <v>320</v>
      </c>
      <c r="H100" s="200">
        <f>Input!Q120</f>
        <v>6026722795.1344004</v>
      </c>
      <c r="I100" s="200">
        <f>IF($F$2&gt;=I$2,Input!CR240,Input!CR120)</f>
        <v>75729000</v>
      </c>
      <c r="J100" s="200">
        <f>IF($F$2&gt;=J$2,Input!CS240,Input!CS120)</f>
        <v>70308000</v>
      </c>
      <c r="K100" s="200">
        <f>IF($F$2&gt;=K$2,Input!CT240,Input!CT120)</f>
        <v>83625000</v>
      </c>
      <c r="L100" s="200">
        <f>IF($F$2&gt;=L$2,Input!CU240,Input!CU120)</f>
        <v>71241000</v>
      </c>
      <c r="M100" s="200">
        <f>IF($F$2&gt;=M$2,Input!CV240,Input!CV120)</f>
        <v>72500000</v>
      </c>
      <c r="N100" s="200">
        <f>IF($F$2&gt;=N$2,Input!CW240,Input!CW120)</f>
        <v>472682172.34051806</v>
      </c>
      <c r="O100" s="200">
        <f>IF($F$2&gt;=O$2,Input!CX240,Input!CX120)</f>
        <v>295648304.62660432</v>
      </c>
      <c r="P100" s="200">
        <f>IF($F$2&gt;=P$2,Input!CY240,Input!CY120)</f>
        <v>456502479.72091794</v>
      </c>
      <c r="Q100" s="200">
        <f>IF($F$2&gt;=Q$2,Input!CZ240,Input!CZ120)</f>
        <v>610588957.21385944</v>
      </c>
      <c r="R100" s="200">
        <f>IF($F$2&gt;=R$2,Input!DA240,Input!DA120)</f>
        <v>538150982.10768926</v>
      </c>
      <c r="S100" s="200">
        <f>IF($F$2&gt;=S$2,Input!DB240,Input!DB120)</f>
        <v>801381916.11804998</v>
      </c>
      <c r="T100" s="200">
        <f>IF($F$2&gt;=T$2,Input!DC240,Input!DC120)</f>
        <v>682101636.94691539</v>
      </c>
      <c r="U100" s="368">
        <f>+SUM(I100:T100)</f>
        <v>4230459449.0745544</v>
      </c>
      <c r="V100" s="377">
        <f t="shared" si="51"/>
        <v>1796263346.0598459</v>
      </c>
      <c r="W100" s="255">
        <f t="shared" si="52"/>
        <v>0.29804977051707715</v>
      </c>
      <c r="X100" s="201"/>
      <c r="Y100" s="436" t="s">
        <v>572</v>
      </c>
      <c r="Z100" s="210"/>
      <c r="AA100" s="210"/>
      <c r="AB100" s="210"/>
      <c r="AC100" t="s">
        <v>163</v>
      </c>
    </row>
    <row r="101" spans="1:29" ht="16.5" x14ac:dyDescent="0.3">
      <c r="A101" s="205"/>
      <c r="B101" s="206"/>
      <c r="C101" s="321" t="s">
        <v>480</v>
      </c>
      <c r="D101" s="228"/>
      <c r="E101" s="321"/>
      <c r="F101" s="230"/>
      <c r="G101" s="259"/>
      <c r="H101" s="208">
        <f t="shared" ref="H101:U101" si="53">SUM(H96:H100)</f>
        <v>11032522795.134399</v>
      </c>
      <c r="I101" s="208">
        <f t="shared" si="53"/>
        <v>314068392.13999999</v>
      </c>
      <c r="J101" s="208">
        <f t="shared" si="53"/>
        <v>715284437.31999993</v>
      </c>
      <c r="K101" s="208">
        <f t="shared" si="53"/>
        <v>728413654.39999998</v>
      </c>
      <c r="L101" s="208">
        <f t="shared" si="53"/>
        <v>749074322.60570002</v>
      </c>
      <c r="M101" s="208">
        <f t="shared" si="53"/>
        <v>799653349.12810004</v>
      </c>
      <c r="N101" s="208">
        <f t="shared" si="53"/>
        <v>1108183313.9589322</v>
      </c>
      <c r="O101" s="208">
        <f t="shared" si="53"/>
        <v>1097652353.7733834</v>
      </c>
      <c r="P101" s="208">
        <f t="shared" si="53"/>
        <v>1090187754.5335217</v>
      </c>
      <c r="Q101" s="208">
        <f t="shared" si="53"/>
        <v>1190619217.1747746</v>
      </c>
      <c r="R101" s="208">
        <f t="shared" si="53"/>
        <v>1251454673.252748</v>
      </c>
      <c r="S101" s="208">
        <f t="shared" si="53"/>
        <v>1195254570.6289668</v>
      </c>
      <c r="T101" s="208">
        <f t="shared" si="53"/>
        <v>1235634100.369782</v>
      </c>
      <c r="U101" s="370">
        <f t="shared" si="53"/>
        <v>11475480139.28591</v>
      </c>
      <c r="V101" s="371">
        <f t="shared" si="51"/>
        <v>-442957344.15151024</v>
      </c>
      <c r="W101" s="337">
        <f t="shared" si="52"/>
        <v>-4.0150140849640012E-2</v>
      </c>
      <c r="X101" s="201"/>
      <c r="Y101" s="219"/>
      <c r="Z101" s="210"/>
      <c r="AA101" s="210"/>
      <c r="AB101" s="210"/>
      <c r="AC101" t="s">
        <v>163</v>
      </c>
    </row>
    <row r="102" spans="1:29" ht="17.25" thickBot="1" x14ac:dyDescent="0.35">
      <c r="A102" s="205"/>
      <c r="B102" s="231"/>
      <c r="C102" s="216"/>
      <c r="D102" s="216"/>
      <c r="E102" s="216"/>
      <c r="F102" s="216"/>
      <c r="G102" s="216"/>
      <c r="H102" s="216"/>
      <c r="I102" s="365"/>
      <c r="J102" s="216"/>
      <c r="K102" s="365"/>
      <c r="L102" s="217"/>
      <c r="M102" s="217"/>
      <c r="N102" s="217"/>
      <c r="O102" s="340"/>
      <c r="P102" s="232"/>
      <c r="Q102" s="217"/>
      <c r="R102" s="217"/>
      <c r="S102" s="217"/>
      <c r="T102" s="216"/>
      <c r="U102" s="216"/>
      <c r="V102" s="216"/>
      <c r="W102" s="216"/>
      <c r="X102" s="316"/>
      <c r="Y102" s="219"/>
      <c r="Z102" s="210"/>
      <c r="AA102" s="210"/>
      <c r="AB102" s="210"/>
      <c r="AC102" t="s">
        <v>163</v>
      </c>
    </row>
    <row r="103" spans="1:29" ht="17.25" thickBot="1" x14ac:dyDescent="0.35">
      <c r="A103" s="196"/>
      <c r="B103" s="196"/>
      <c r="C103" s="196"/>
      <c r="D103" s="196"/>
      <c r="E103" s="196"/>
      <c r="F103" s="234"/>
      <c r="G103" s="196"/>
      <c r="H103" s="196"/>
      <c r="I103" s="235"/>
      <c r="J103" s="196"/>
      <c r="K103" s="235"/>
      <c r="L103" s="196"/>
      <c r="M103" s="196"/>
      <c r="N103" s="196"/>
      <c r="O103" s="341"/>
      <c r="P103" s="236"/>
      <c r="Q103" s="196"/>
      <c r="R103" s="196"/>
      <c r="S103" s="196"/>
      <c r="T103" s="196"/>
      <c r="U103" s="196"/>
      <c r="V103" s="196"/>
      <c r="W103" s="234"/>
      <c r="X103" s="381"/>
      <c r="Y103" s="219"/>
      <c r="Z103" s="379"/>
      <c r="AA103" s="380"/>
      <c r="AB103" s="380"/>
      <c r="AC103" t="s">
        <v>163</v>
      </c>
    </row>
    <row r="104" spans="1:29" ht="16.5" x14ac:dyDescent="0.3">
      <c r="A104" s="205"/>
      <c r="B104" s="220"/>
      <c r="C104" s="221"/>
      <c r="D104" s="221"/>
      <c r="E104" s="221"/>
      <c r="F104" s="222"/>
      <c r="G104" s="223"/>
      <c r="H104" s="223"/>
      <c r="I104" s="224"/>
      <c r="J104" s="223"/>
      <c r="K104" s="224"/>
      <c r="L104" s="221"/>
      <c r="M104" s="221"/>
      <c r="N104" s="221"/>
      <c r="O104" s="342"/>
      <c r="P104" s="225"/>
      <c r="Q104" s="221"/>
      <c r="R104" s="221"/>
      <c r="S104" s="221"/>
      <c r="T104" s="221"/>
      <c r="U104" s="221"/>
      <c r="V104" s="221"/>
      <c r="W104" s="222"/>
      <c r="X104" s="187"/>
      <c r="Y104" s="219"/>
      <c r="Z104" s="210"/>
      <c r="AA104" s="210"/>
      <c r="AB104" s="210"/>
      <c r="AC104" t="s">
        <v>163</v>
      </c>
    </row>
    <row r="105" spans="1:29" ht="16.5" x14ac:dyDescent="0.3">
      <c r="A105" s="205"/>
      <c r="B105" s="206"/>
      <c r="C105" s="207" t="s">
        <v>259</v>
      </c>
      <c r="D105" s="198"/>
      <c r="E105" s="207"/>
      <c r="F105" s="207"/>
      <c r="G105" s="213"/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  <c r="R105" s="212"/>
      <c r="S105" s="212"/>
      <c r="T105" s="212"/>
      <c r="U105" s="371"/>
      <c r="V105" s="371"/>
      <c r="W105" s="203"/>
      <c r="X105" s="201"/>
      <c r="Y105" s="219"/>
      <c r="Z105" s="210"/>
      <c r="AA105" s="210"/>
      <c r="AB105" s="210"/>
      <c r="AC105" t="s">
        <v>163</v>
      </c>
    </row>
    <row r="106" spans="1:29" ht="16.5" x14ac:dyDescent="0.3">
      <c r="A106" s="205"/>
      <c r="B106" s="206"/>
      <c r="C106" s="207"/>
      <c r="D106" s="198" t="s">
        <v>449</v>
      </c>
      <c r="E106" s="207"/>
      <c r="F106" s="207"/>
      <c r="G106" s="199">
        <v>65</v>
      </c>
      <c r="H106" s="200">
        <f>Input!Q97</f>
        <v>0</v>
      </c>
      <c r="I106" s="200">
        <f>IF($F$2&gt;=I$2,Input!CR217,Input!CR97)</f>
        <v>0</v>
      </c>
      <c r="J106" s="200">
        <f>IF($F$2&gt;=J$2,Input!CS217,Input!CS97)</f>
        <v>8100000</v>
      </c>
      <c r="K106" s="200">
        <f>IF($F$2&gt;=K$2,Input!CT217,Input!CT97)</f>
        <v>10606121.666666666</v>
      </c>
      <c r="L106" s="200">
        <f>IF($F$2&gt;=L$2,Input!CU217,Input!CU97)</f>
        <v>187119305.44513953</v>
      </c>
      <c r="M106" s="200">
        <f>IF($F$2&gt;=M$2,Input!CV217,Input!CV97)</f>
        <v>29270178.64310088</v>
      </c>
      <c r="N106" s="200">
        <f>IF($F$2&gt;=N$2,Input!CW217,Input!CW97)</f>
        <v>7990453.4516249998</v>
      </c>
      <c r="O106" s="200">
        <f>IF($F$2&gt;=O$2,Input!CX217,Input!CX97)</f>
        <v>7990453.4516249895</v>
      </c>
      <c r="P106" s="200">
        <f>IF($F$2&gt;=P$2,Input!CY217,Input!CY97)</f>
        <v>148936853.45162499</v>
      </c>
      <c r="Q106" s="200">
        <f>IF($F$2&gt;=Q$2,Input!CZ217,Input!CZ97)</f>
        <v>16411149.984999999</v>
      </c>
      <c r="R106" s="200">
        <f>IF($F$2&gt;=R$2,Input!DA217,Input!DA97)</f>
        <v>10894847.35</v>
      </c>
      <c r="S106" s="200">
        <f>IF($F$2&gt;=S$2,Input!DB217,Input!DB97)</f>
        <v>16066952.449999999</v>
      </c>
      <c r="T106" s="200">
        <f>IF($F$2&gt;=T$2,Input!DC217,Input!DC97)</f>
        <v>4305900</v>
      </c>
      <c r="U106" s="368">
        <f>+SUM(I106:T106)</f>
        <v>447692215.89478207</v>
      </c>
      <c r="V106" s="368">
        <f t="shared" ref="V106:V111" si="54">-U106+H106</f>
        <v>-447692215.89478207</v>
      </c>
      <c r="W106" s="255" t="str">
        <f t="shared" ref="W106:W111" si="55">IFERROR(+V106/H106,"")</f>
        <v/>
      </c>
      <c r="X106" s="201"/>
      <c r="Y106" s="219"/>
      <c r="Z106" s="210"/>
      <c r="AA106" s="210"/>
      <c r="AB106" s="210"/>
      <c r="AC106" t="s">
        <v>163</v>
      </c>
    </row>
    <row r="107" spans="1:29" ht="16.5" x14ac:dyDescent="0.3">
      <c r="A107" s="205"/>
      <c r="B107" s="206"/>
      <c r="C107" s="207"/>
      <c r="D107" s="198" t="s">
        <v>451</v>
      </c>
      <c r="E107" s="207"/>
      <c r="F107" s="207"/>
      <c r="G107" s="199">
        <v>65</v>
      </c>
      <c r="H107" s="200">
        <f>Input!Q98</f>
        <v>0</v>
      </c>
      <c r="I107" s="200">
        <f>IF($F$2&gt;=I$2,Input!CR218,Input!CR98)</f>
        <v>0</v>
      </c>
      <c r="J107" s="200">
        <f>IF($F$2&gt;=J$2,Input!CS218,Input!CS98)</f>
        <v>0</v>
      </c>
      <c r="K107" s="200">
        <f>IF($F$2&gt;=K$2,Input!CT218,Input!CT98)</f>
        <v>0</v>
      </c>
      <c r="L107" s="200">
        <f>IF($F$2&gt;=L$2,Input!CU218,Input!CU98)</f>
        <v>0</v>
      </c>
      <c r="M107" s="200">
        <f>IF($F$2&gt;=M$2,Input!CV218,Input!CV98)</f>
        <v>0</v>
      </c>
      <c r="N107" s="200">
        <f>IF($F$2&gt;=N$2,Input!CW218,Input!CW98)</f>
        <v>0</v>
      </c>
      <c r="O107" s="200">
        <f>IF($F$2&gt;=O$2,Input!CX218,Input!CX98)</f>
        <v>0</v>
      </c>
      <c r="P107" s="200">
        <f>IF($F$2&gt;=P$2,Input!CY218,Input!CY98)</f>
        <v>0</v>
      </c>
      <c r="Q107" s="200">
        <f>IF($F$2&gt;=Q$2,Input!CZ218,Input!CZ98)</f>
        <v>0</v>
      </c>
      <c r="R107" s="200">
        <f>IF($F$2&gt;=R$2,Input!DA218,Input!DA98)</f>
        <v>0</v>
      </c>
      <c r="S107" s="200">
        <f>IF($F$2&gt;=S$2,Input!DB218,Input!DB98)</f>
        <v>0</v>
      </c>
      <c r="T107" s="200">
        <f>IF($F$2&gt;=T$2,Input!DC218,Input!DC98)</f>
        <v>0</v>
      </c>
      <c r="U107" s="368">
        <f>+SUM(I107:T107)</f>
        <v>0</v>
      </c>
      <c r="V107" s="368">
        <f t="shared" si="54"/>
        <v>0</v>
      </c>
      <c r="W107" s="255" t="str">
        <f t="shared" si="55"/>
        <v/>
      </c>
      <c r="X107" s="201"/>
      <c r="Y107" s="219"/>
      <c r="Z107" s="210"/>
      <c r="AA107" s="210"/>
      <c r="AB107" s="210"/>
      <c r="AC107" t="s">
        <v>163</v>
      </c>
    </row>
    <row r="108" spans="1:29" ht="16.5" x14ac:dyDescent="0.3">
      <c r="A108" s="205"/>
      <c r="B108" s="206"/>
      <c r="C108" s="207"/>
      <c r="D108" s="198" t="s">
        <v>328</v>
      </c>
      <c r="E108" s="207"/>
      <c r="F108" s="207"/>
      <c r="G108" s="199">
        <v>66</v>
      </c>
      <c r="H108" s="200">
        <f>Input!Q99</f>
        <v>0</v>
      </c>
      <c r="I108" s="200">
        <f>IF($F$2&gt;=I$2,Input!CR219,Input!CR99)</f>
        <v>0</v>
      </c>
      <c r="J108" s="200">
        <f>IF($F$2&gt;=J$2,Input!CS219,Input!CS99)</f>
        <v>0</v>
      </c>
      <c r="K108" s="200">
        <f>IF($F$2&gt;=K$2,Input!CT219,Input!CT99)</f>
        <v>0</v>
      </c>
      <c r="L108" s="200">
        <f>IF($F$2&gt;=L$2,Input!CU219,Input!CU99)</f>
        <v>0</v>
      </c>
      <c r="M108" s="200">
        <f>IF($F$2&gt;=M$2,Input!CV219,Input!CV99)</f>
        <v>0</v>
      </c>
      <c r="N108" s="200">
        <f>IF($F$2&gt;=N$2,Input!CW219,Input!CW99)</f>
        <v>0</v>
      </c>
      <c r="O108" s="200">
        <f>IF($F$2&gt;=O$2,Input!CX219,Input!CX99)</f>
        <v>139946400</v>
      </c>
      <c r="P108" s="200">
        <f>IF($F$2&gt;=P$2,Input!CY219,Input!CY99)</f>
        <v>-132052225.625</v>
      </c>
      <c r="Q108" s="200">
        <f>IF($F$2&gt;=Q$2,Input!CZ219,Input!CZ99)</f>
        <v>-2350077.0250000004</v>
      </c>
      <c r="R108" s="200">
        <f>IF($F$2&gt;=R$2,Input!DA219,Input!DA99)</f>
        <v>8272105.0999999996</v>
      </c>
      <c r="S108" s="200">
        <f>IF($F$2&gt;=S$2,Input!DB219,Input!DB99)</f>
        <v>-11761052.449999999</v>
      </c>
      <c r="T108" s="200">
        <f>IF($F$2&gt;=T$2,Input!DC219,Input!DC99)</f>
        <v>189250</v>
      </c>
      <c r="U108" s="368">
        <f>+SUM(I108:T108)</f>
        <v>2244400</v>
      </c>
      <c r="V108" s="368">
        <f t="shared" si="54"/>
        <v>-2244400</v>
      </c>
      <c r="W108" s="255" t="str">
        <f t="shared" si="55"/>
        <v/>
      </c>
      <c r="X108" s="201"/>
      <c r="Y108" s="219"/>
      <c r="Z108" s="210"/>
      <c r="AA108" s="210"/>
      <c r="AB108" s="210"/>
      <c r="AC108" t="s">
        <v>163</v>
      </c>
    </row>
    <row r="109" spans="1:29" ht="16.5" x14ac:dyDescent="0.3">
      <c r="A109" s="196"/>
      <c r="B109" s="197"/>
      <c r="C109" s="207"/>
      <c r="D109" s="198" t="s">
        <v>483</v>
      </c>
      <c r="E109" s="207"/>
      <c r="F109" s="207"/>
      <c r="G109" s="199">
        <v>68</v>
      </c>
      <c r="H109" s="200">
        <f>Input!Q103</f>
        <v>0</v>
      </c>
      <c r="I109" s="200">
        <f>IF($F$2&gt;=I$2,Input!CR220,Input!CR100)</f>
        <v>0</v>
      </c>
      <c r="J109" s="200">
        <f>IF($F$2&gt;=J$2,Input!CS220,Input!CS100)</f>
        <v>0</v>
      </c>
      <c r="K109" s="200">
        <f>IF($F$2&gt;=K$2,Input!CT220,Input!CT100)</f>
        <v>0</v>
      </c>
      <c r="L109" s="200">
        <f>IF($F$2&gt;=L$2,Input!CU220,Input!CU100)</f>
        <v>0</v>
      </c>
      <c r="M109" s="200">
        <f>IF($F$2&gt;=M$2,Input!CV220,Input!CV100)</f>
        <v>0</v>
      </c>
      <c r="N109" s="200">
        <f>IF($F$2&gt;=N$2,Input!CW220,Input!CW100)</f>
        <v>0</v>
      </c>
      <c r="O109" s="200">
        <f>IF($F$2&gt;=O$2,Input!CX220,Input!CX100)</f>
        <v>0</v>
      </c>
      <c r="P109" s="200">
        <f>IF($F$2&gt;=P$2,Input!CY220,Input!CY100)</f>
        <v>0</v>
      </c>
      <c r="Q109" s="200">
        <f>IF($F$2&gt;=Q$2,Input!CZ220,Input!CZ100)</f>
        <v>0</v>
      </c>
      <c r="R109" s="200">
        <f>IF($F$2&gt;=R$2,Input!DA220,Input!DA100)</f>
        <v>0</v>
      </c>
      <c r="S109" s="200">
        <f>IF($F$2&gt;=S$2,Input!DB220,Input!DB100)</f>
        <v>0</v>
      </c>
      <c r="T109" s="200">
        <f>IF($F$2&gt;=T$2,Input!DC220,Input!DC100)</f>
        <v>0</v>
      </c>
      <c r="U109" s="368">
        <f>+SUM(I109:T109)</f>
        <v>0</v>
      </c>
      <c r="V109" s="368">
        <f t="shared" si="54"/>
        <v>0</v>
      </c>
      <c r="W109" s="255" t="str">
        <f t="shared" si="55"/>
        <v/>
      </c>
      <c r="X109" s="187"/>
      <c r="Y109" s="254"/>
      <c r="Z109" s="202"/>
      <c r="AA109" s="202"/>
      <c r="AB109" s="202"/>
      <c r="AC109" t="s">
        <v>163</v>
      </c>
    </row>
    <row r="110" spans="1:29" ht="16.5" x14ac:dyDescent="0.3">
      <c r="A110" s="196"/>
      <c r="B110" s="197"/>
      <c r="C110" s="207"/>
      <c r="D110" s="198" t="s">
        <v>329</v>
      </c>
      <c r="E110" s="207"/>
      <c r="F110" s="207"/>
      <c r="G110" s="199" t="s">
        <v>453</v>
      </c>
      <c r="H110" s="200">
        <f>Input!Q104</f>
        <v>0</v>
      </c>
      <c r="I110" s="200">
        <f>IF($F$2&gt;=I$2,Input!CR221,Input!CR101)</f>
        <v>0</v>
      </c>
      <c r="J110" s="200">
        <f>IF($F$2&gt;=J$2,Input!CS221,Input!CS101)</f>
        <v>0</v>
      </c>
      <c r="K110" s="200">
        <f>IF($F$2&gt;=K$2,Input!CT221,Input!CT101)</f>
        <v>0</v>
      </c>
      <c r="L110" s="200">
        <f>IF($F$2&gt;=L$2,Input!CU221,Input!CU101)</f>
        <v>0</v>
      </c>
      <c r="M110" s="200">
        <f>IF($F$2&gt;=M$2,Input!CV221,Input!CV101)</f>
        <v>0</v>
      </c>
      <c r="N110" s="200">
        <f>IF($F$2&gt;=N$2,Input!CW221,Input!CW101)</f>
        <v>525245394.36961913</v>
      </c>
      <c r="O110" s="200">
        <f>IF($F$2&gt;=O$2,Input!CX221,Input!CX101)</f>
        <v>598064708.05778909</v>
      </c>
      <c r="P110" s="200">
        <f>IF($F$2&gt;=P$2,Input!CY221,Input!CY101)</f>
        <v>739465551.14385712</v>
      </c>
      <c r="Q110" s="200">
        <f>IF($F$2&gt;=Q$2,Input!CZ221,Input!CZ101)</f>
        <v>816059872.87708616</v>
      </c>
      <c r="R110" s="200">
        <f>IF($F$2&gt;=R$2,Input!DA221,Input!DA101)</f>
        <v>868926668.27104509</v>
      </c>
      <c r="S110" s="200">
        <f>IF($F$2&gt;=S$2,Input!DB221,Input!DB101)</f>
        <v>1909237817.3326638</v>
      </c>
      <c r="T110" s="200">
        <f>IF($F$2&gt;=T$2,Input!DC221,Input!DC101)</f>
        <v>736566396.58395481</v>
      </c>
      <c r="U110" s="368">
        <f>+SUM(I110:T110)</f>
        <v>6193566408.6360149</v>
      </c>
      <c r="V110" s="368">
        <f t="shared" si="54"/>
        <v>-6193566408.6360149</v>
      </c>
      <c r="W110" s="255" t="str">
        <f t="shared" si="55"/>
        <v/>
      </c>
      <c r="X110" s="187"/>
      <c r="Y110" s="254"/>
      <c r="Z110" s="202"/>
      <c r="AA110" s="202"/>
      <c r="AB110" s="202"/>
      <c r="AC110" t="s">
        <v>163</v>
      </c>
    </row>
    <row r="111" spans="1:29" ht="16.5" x14ac:dyDescent="0.3">
      <c r="A111" s="205"/>
      <c r="B111" s="206"/>
      <c r="C111" s="207" t="s">
        <v>330</v>
      </c>
      <c r="D111" s="198"/>
      <c r="E111" s="207"/>
      <c r="F111" s="230"/>
      <c r="G111" s="259"/>
      <c r="H111" s="208">
        <f>+SUM(H106:H110)</f>
        <v>0</v>
      </c>
      <c r="I111" s="208">
        <f t="shared" ref="I111:U111" si="56">+SUM(I106:I110)</f>
        <v>0</v>
      </c>
      <c r="J111" s="208">
        <f t="shared" ref="J111:T111" si="57">+SUM(J106:J110)</f>
        <v>8100000</v>
      </c>
      <c r="K111" s="208">
        <f t="shared" si="57"/>
        <v>10606121.666666666</v>
      </c>
      <c r="L111" s="208">
        <f t="shared" si="57"/>
        <v>187119305.44513953</v>
      </c>
      <c r="M111" s="208">
        <f t="shared" si="57"/>
        <v>29270178.64310088</v>
      </c>
      <c r="N111" s="208">
        <f t="shared" si="57"/>
        <v>533235847.82124412</v>
      </c>
      <c r="O111" s="208">
        <f t="shared" si="57"/>
        <v>746001561.50941408</v>
      </c>
      <c r="P111" s="208">
        <f t="shared" si="57"/>
        <v>756350178.97048211</v>
      </c>
      <c r="Q111" s="208">
        <f t="shared" si="57"/>
        <v>830120945.8370862</v>
      </c>
      <c r="R111" s="208">
        <f t="shared" si="57"/>
        <v>888093620.72104514</v>
      </c>
      <c r="S111" s="208">
        <f t="shared" si="57"/>
        <v>1913543717.3326638</v>
      </c>
      <c r="T111" s="208">
        <f t="shared" si="57"/>
        <v>741061546.58395481</v>
      </c>
      <c r="U111" s="370">
        <f t="shared" si="56"/>
        <v>6643503024.530797</v>
      </c>
      <c r="V111" s="370">
        <f t="shared" si="54"/>
        <v>-6643503024.530797</v>
      </c>
      <c r="W111" s="337" t="str">
        <f t="shared" si="55"/>
        <v/>
      </c>
      <c r="X111" s="201"/>
      <c r="Y111" s="219"/>
      <c r="Z111" s="210"/>
      <c r="AA111" s="210"/>
      <c r="AB111" s="210"/>
      <c r="AC111" t="s">
        <v>163</v>
      </c>
    </row>
    <row r="112" spans="1:29" ht="16.5" x14ac:dyDescent="0.3">
      <c r="A112" s="205"/>
      <c r="B112" s="206"/>
      <c r="C112" s="207"/>
      <c r="D112" s="198"/>
      <c r="E112" s="207"/>
      <c r="F112" s="207"/>
      <c r="G112" s="213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212"/>
      <c r="T112" s="212"/>
      <c r="U112" s="371"/>
      <c r="V112" s="371"/>
      <c r="W112" s="209"/>
      <c r="X112" s="201"/>
      <c r="Y112" s="219"/>
      <c r="Z112" s="210"/>
      <c r="AA112" s="210"/>
      <c r="AB112" s="210"/>
      <c r="AC112" t="s">
        <v>163</v>
      </c>
    </row>
    <row r="113" spans="1:29" x14ac:dyDescent="0.25">
      <c r="A113" s="205"/>
      <c r="B113" s="206"/>
      <c r="C113" s="207" t="s">
        <v>331</v>
      </c>
      <c r="D113" s="207"/>
      <c r="E113" s="207"/>
      <c r="F113" s="207"/>
      <c r="G113" s="213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  <c r="R113" s="212"/>
      <c r="S113" s="212"/>
      <c r="T113" s="212"/>
      <c r="U113" s="371"/>
      <c r="V113" s="371"/>
      <c r="W113" s="209"/>
      <c r="X113" s="215"/>
      <c r="Y113" s="218"/>
      <c r="Z113" s="210"/>
      <c r="AA113" s="210"/>
      <c r="AB113" s="210"/>
      <c r="AC113" t="s">
        <v>163</v>
      </c>
    </row>
    <row r="114" spans="1:29" ht="16.5" x14ac:dyDescent="0.3">
      <c r="A114" s="205"/>
      <c r="B114" s="206"/>
      <c r="C114" s="198"/>
      <c r="D114" s="269" t="s">
        <v>185</v>
      </c>
      <c r="E114" s="198"/>
      <c r="F114" s="198"/>
      <c r="G114" s="199">
        <v>37</v>
      </c>
      <c r="H114" s="200">
        <f>Input!Q28</f>
        <v>0</v>
      </c>
      <c r="I114" s="200">
        <f>IF($F$2&gt;=I$2,Input!CR148,Input!CR28)</f>
        <v>0</v>
      </c>
      <c r="J114" s="200">
        <f>IF($F$2&gt;=J$2,Input!CS148,Input!CS28)</f>
        <v>0</v>
      </c>
      <c r="K114" s="200">
        <f>IF($F$2&gt;=K$2,Input!CT148,Input!CT28)</f>
        <v>0</v>
      </c>
      <c r="L114" s="200">
        <f>IF($F$2&gt;=L$2,Input!CU148,Input!CU28)</f>
        <v>0</v>
      </c>
      <c r="M114" s="200">
        <f>IF($F$2&gt;=M$2,Input!CV148,Input!CV28)</f>
        <v>0</v>
      </c>
      <c r="N114" s="200">
        <f>IF($F$2&gt;=N$2,Input!CW148,Input!CW28)</f>
        <v>0</v>
      </c>
      <c r="O114" s="200">
        <f>IF($F$2&gt;=O$2,Input!CX148,Input!CX28)</f>
        <v>0</v>
      </c>
      <c r="P114" s="200">
        <f>IF($F$2&gt;=P$2,Input!CY148,Input!CY28)</f>
        <v>0</v>
      </c>
      <c r="Q114" s="200">
        <f>IF($F$2&gt;=Q$2,Input!CZ148,Input!CZ28)</f>
        <v>0</v>
      </c>
      <c r="R114" s="200">
        <f>IF($F$2&gt;=R$2,Input!DA148,Input!DA28)</f>
        <v>0</v>
      </c>
      <c r="S114" s="200">
        <f>IF($F$2&gt;=S$2,Input!DB148,Input!DB28)</f>
        <v>0</v>
      </c>
      <c r="T114" s="200">
        <f>IF($F$2&gt;=T$2,Input!DC148,Input!DC28)</f>
        <v>0</v>
      </c>
      <c r="U114" s="368">
        <f>+SUM(I114:T114)</f>
        <v>0</v>
      </c>
      <c r="V114" s="368">
        <f t="shared" ref="V114:V115" si="58">+U114-H114</f>
        <v>0</v>
      </c>
      <c r="W114" s="255" t="str">
        <f t="shared" ref="W114:W116" si="59">IFERROR(+V114/H114,"")</f>
        <v/>
      </c>
      <c r="X114" s="201"/>
      <c r="Y114" s="219"/>
      <c r="Z114" s="210"/>
      <c r="AA114" s="210"/>
      <c r="AB114" s="210"/>
      <c r="AC114" t="s">
        <v>163</v>
      </c>
    </row>
    <row r="115" spans="1:29" ht="16.5" x14ac:dyDescent="0.3">
      <c r="A115" s="196"/>
      <c r="B115" s="197"/>
      <c r="C115" s="198"/>
      <c r="D115" s="269" t="s">
        <v>484</v>
      </c>
      <c r="E115" s="198"/>
      <c r="F115" s="198"/>
      <c r="G115" s="199" t="s">
        <v>186</v>
      </c>
      <c r="H115" s="200">
        <f>Input!Q29</f>
        <v>0</v>
      </c>
      <c r="I115" s="200">
        <f>IF($F$2&gt;=I$2,Input!CR149,Input!CR29)</f>
        <v>365718322.14999998</v>
      </c>
      <c r="J115" s="200">
        <f>IF($F$2&gt;=J$2,Input!CS149,Input!CS29)</f>
        <v>9243970.8599999994</v>
      </c>
      <c r="K115" s="200">
        <f>IF($F$2&gt;=K$2,Input!CT149,Input!CT29)</f>
        <v>62624961.969999991</v>
      </c>
      <c r="L115" s="200">
        <f>IF($F$2&gt;=L$2,Input!CU149,Input!CU29)</f>
        <v>25036768.170000002</v>
      </c>
      <c r="M115" s="200">
        <f>IF($F$2&gt;=M$2,Input!CV149,Input!CV29)</f>
        <v>28733759.509999998</v>
      </c>
      <c r="N115" s="200">
        <f>IF($F$2&gt;=N$2,Input!CW149,Input!CW29)</f>
        <v>7990453.4516249998</v>
      </c>
      <c r="O115" s="200">
        <f>IF($F$2&gt;=O$2,Input!CX149,Input!CX29)</f>
        <v>7990453.4516249895</v>
      </c>
      <c r="P115" s="200">
        <f>IF($F$2&gt;=P$2,Input!CY149,Input!CY29)</f>
        <v>148936853.45162499</v>
      </c>
      <c r="Q115" s="200">
        <f>IF($F$2&gt;=Q$2,Input!CZ149,Input!CZ29)</f>
        <v>16411149.984999999</v>
      </c>
      <c r="R115" s="200">
        <f>IF($F$2&gt;=R$2,Input!DA149,Input!DA29)</f>
        <v>10894847.35</v>
      </c>
      <c r="S115" s="200">
        <f>IF($F$2&gt;=S$2,Input!DB149,Input!DB29)</f>
        <v>16066952.449999999</v>
      </c>
      <c r="T115" s="200">
        <f>IF($F$2&gt;=T$2,Input!DC149,Input!DC29)</f>
        <v>4305900</v>
      </c>
      <c r="U115" s="368">
        <f>+SUM(I115:T115)</f>
        <v>703954392.79987502</v>
      </c>
      <c r="V115" s="368">
        <f t="shared" si="58"/>
        <v>703954392.79987502</v>
      </c>
      <c r="W115" s="255" t="str">
        <f t="shared" si="59"/>
        <v/>
      </c>
      <c r="X115" s="201"/>
      <c r="Y115" s="219"/>
      <c r="Z115" s="202"/>
      <c r="AA115" s="202"/>
      <c r="AB115" s="202"/>
      <c r="AC115" t="s">
        <v>163</v>
      </c>
    </row>
    <row r="116" spans="1:29" ht="16.5" x14ac:dyDescent="0.3">
      <c r="A116" s="196"/>
      <c r="B116" s="206"/>
      <c r="C116" s="207" t="s">
        <v>332</v>
      </c>
      <c r="D116" s="198"/>
      <c r="E116" s="207"/>
      <c r="F116" s="230"/>
      <c r="G116" s="259"/>
      <c r="H116" s="208">
        <f>+SUM(H114:H115)</f>
        <v>0</v>
      </c>
      <c r="I116" s="208">
        <f t="shared" ref="I116:V116" si="60">+SUM(I114:I115)</f>
        <v>365718322.14999998</v>
      </c>
      <c r="J116" s="208">
        <f t="shared" ref="J116:T116" si="61">+SUM(J114:J115)</f>
        <v>9243970.8599999994</v>
      </c>
      <c r="K116" s="208">
        <f t="shared" si="61"/>
        <v>62624961.969999991</v>
      </c>
      <c r="L116" s="208">
        <f t="shared" si="61"/>
        <v>25036768.170000002</v>
      </c>
      <c r="M116" s="208">
        <f t="shared" si="61"/>
        <v>28733759.509999998</v>
      </c>
      <c r="N116" s="208">
        <f t="shared" si="61"/>
        <v>7990453.4516249998</v>
      </c>
      <c r="O116" s="208">
        <f t="shared" si="61"/>
        <v>7990453.4516249895</v>
      </c>
      <c r="P116" s="208">
        <f t="shared" si="61"/>
        <v>148936853.45162499</v>
      </c>
      <c r="Q116" s="208">
        <f t="shared" si="61"/>
        <v>16411149.984999999</v>
      </c>
      <c r="R116" s="208">
        <f t="shared" si="61"/>
        <v>10894847.35</v>
      </c>
      <c r="S116" s="208">
        <f t="shared" si="61"/>
        <v>16066952.449999999</v>
      </c>
      <c r="T116" s="208">
        <f t="shared" si="61"/>
        <v>4305900</v>
      </c>
      <c r="U116" s="370">
        <f t="shared" si="60"/>
        <v>703954392.79987502</v>
      </c>
      <c r="V116" s="370">
        <f t="shared" si="60"/>
        <v>703954392.79987502</v>
      </c>
      <c r="W116" s="337" t="str">
        <f t="shared" si="59"/>
        <v/>
      </c>
      <c r="X116" s="201"/>
      <c r="Y116" s="196"/>
      <c r="Z116" s="202"/>
      <c r="AA116" s="202"/>
      <c r="AB116" s="202"/>
      <c r="AC116" t="s">
        <v>163</v>
      </c>
    </row>
    <row r="117" spans="1:29" ht="17.25" thickBot="1" x14ac:dyDescent="0.35">
      <c r="A117" s="196"/>
      <c r="B117" s="270"/>
      <c r="C117" s="271"/>
      <c r="D117" s="271"/>
      <c r="E117" s="271"/>
      <c r="F117" s="272"/>
      <c r="G117" s="272"/>
      <c r="H117" s="273"/>
      <c r="I117" s="271"/>
      <c r="J117" s="271"/>
      <c r="K117" s="271"/>
      <c r="L117" s="271"/>
      <c r="M117" s="271"/>
      <c r="N117" s="271"/>
      <c r="O117" s="271"/>
      <c r="P117" s="271"/>
      <c r="Q117" s="271"/>
      <c r="R117" s="271"/>
      <c r="S117" s="271"/>
      <c r="T117" s="271"/>
      <c r="U117" s="361"/>
      <c r="V117" s="361"/>
      <c r="W117" s="334"/>
      <c r="X117" s="274"/>
      <c r="Y117" s="196"/>
      <c r="Z117" s="202"/>
      <c r="AA117" s="202"/>
      <c r="AB117" s="202"/>
      <c r="AC117" t="s">
        <v>163</v>
      </c>
    </row>
    <row r="118" spans="1:29" ht="16.5" x14ac:dyDescent="0.3">
      <c r="A118" s="196"/>
      <c r="B118" s="196"/>
      <c r="C118" s="196"/>
      <c r="D118" s="196"/>
      <c r="E118" s="196"/>
      <c r="F118" s="234"/>
      <c r="G118" s="234"/>
      <c r="H118" s="275"/>
      <c r="I118" s="196"/>
      <c r="J118" s="196"/>
      <c r="K118" s="196"/>
      <c r="L118" s="196"/>
      <c r="M118" s="196"/>
      <c r="N118" s="196"/>
      <c r="O118" s="196"/>
      <c r="P118" s="196"/>
      <c r="Q118" s="196"/>
      <c r="R118" s="196"/>
      <c r="S118" s="196"/>
      <c r="T118" s="196"/>
      <c r="U118" s="362"/>
      <c r="V118" s="362"/>
      <c r="W118" s="235"/>
      <c r="X118" s="196"/>
      <c r="Y118" s="196"/>
      <c r="Z118" s="202"/>
      <c r="AA118" s="202"/>
      <c r="AB118" s="202"/>
      <c r="AC118" t="s">
        <v>163</v>
      </c>
    </row>
    <row r="119" spans="1:29" ht="16.5" x14ac:dyDescent="0.3">
      <c r="A119" s="196"/>
      <c r="B119" s="196"/>
      <c r="C119" s="196"/>
      <c r="D119" s="196"/>
      <c r="E119" s="196"/>
      <c r="F119" s="234"/>
      <c r="G119" s="234"/>
      <c r="H119" s="275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196"/>
      <c r="U119" s="362"/>
      <c r="V119" s="362"/>
      <c r="W119" s="235"/>
      <c r="X119" s="196"/>
      <c r="Y119" s="196"/>
      <c r="Z119" s="202"/>
      <c r="AA119" s="202"/>
      <c r="AB119" s="202"/>
      <c r="AC119" t="s">
        <v>163</v>
      </c>
    </row>
    <row r="120" spans="1:29" ht="16.5" x14ac:dyDescent="0.3">
      <c r="A120" s="196"/>
      <c r="B120" s="196"/>
      <c r="C120" s="196"/>
      <c r="D120" s="196"/>
      <c r="E120" s="196"/>
      <c r="F120" s="234"/>
      <c r="G120" s="234"/>
      <c r="H120" s="275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362"/>
      <c r="V120" s="362"/>
      <c r="W120" s="235"/>
      <c r="X120" s="196"/>
      <c r="Y120" s="196"/>
      <c r="Z120" s="202"/>
      <c r="AA120" s="202"/>
      <c r="AB120" s="202"/>
      <c r="AC120" t="s">
        <v>163</v>
      </c>
    </row>
    <row r="121" spans="1:29" ht="16.5" x14ac:dyDescent="0.3">
      <c r="A121" s="196"/>
      <c r="B121" s="196"/>
      <c r="C121" s="196"/>
      <c r="D121" s="196"/>
      <c r="E121" s="196"/>
      <c r="F121" s="234"/>
      <c r="G121" s="234"/>
      <c r="H121" s="275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6"/>
      <c r="T121" s="196"/>
      <c r="U121" s="362"/>
      <c r="V121" s="362"/>
      <c r="W121" s="235"/>
      <c r="X121" s="196"/>
      <c r="Y121" s="196"/>
      <c r="Z121" s="202"/>
      <c r="AA121" s="202"/>
      <c r="AB121" s="202"/>
      <c r="AC121" t="s">
        <v>163</v>
      </c>
    </row>
    <row r="122" spans="1:29" ht="16.5" x14ac:dyDescent="0.3">
      <c r="A122" s="196"/>
      <c r="B122" s="196"/>
      <c r="C122" s="196"/>
      <c r="D122" s="196"/>
      <c r="E122" s="196"/>
      <c r="F122" s="234"/>
      <c r="G122" s="234"/>
      <c r="H122" s="275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  <c r="U122" s="362"/>
      <c r="V122" s="362"/>
      <c r="W122" s="235"/>
      <c r="X122" s="196"/>
      <c r="Y122" s="196"/>
      <c r="Z122" s="202"/>
      <c r="AA122" s="202"/>
      <c r="AB122" s="202"/>
      <c r="AC122" t="s">
        <v>163</v>
      </c>
    </row>
    <row r="123" spans="1:29" ht="16.5" x14ac:dyDescent="0.3">
      <c r="A123" s="202"/>
      <c r="B123" s="202"/>
      <c r="C123" s="202"/>
      <c r="D123" s="202"/>
      <c r="E123" s="202"/>
      <c r="F123" s="237"/>
      <c r="G123" s="237"/>
      <c r="H123" s="276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188"/>
      <c r="T123" s="202"/>
      <c r="U123" s="363"/>
      <c r="V123" s="363"/>
      <c r="W123" s="238"/>
      <c r="X123" s="202"/>
      <c r="Y123" s="202"/>
      <c r="Z123" s="202"/>
      <c r="AA123" s="202"/>
      <c r="AB123" s="202"/>
    </row>
    <row r="124" spans="1:29" ht="16.5" x14ac:dyDescent="0.3">
      <c r="A124" s="188"/>
      <c r="B124" s="188"/>
      <c r="C124" s="188"/>
      <c r="D124" s="188"/>
      <c r="E124" s="188"/>
      <c r="F124" s="277"/>
      <c r="G124" s="277"/>
      <c r="H124" s="27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363"/>
      <c r="V124" s="363"/>
      <c r="W124" s="238"/>
      <c r="X124" s="188"/>
      <c r="Y124" s="188"/>
      <c r="Z124" s="188"/>
      <c r="AA124" s="188"/>
      <c r="AB124" s="188"/>
    </row>
    <row r="125" spans="1:29" ht="16.5" x14ac:dyDescent="0.3">
      <c r="A125" s="188"/>
      <c r="B125" s="188"/>
      <c r="C125" s="188"/>
      <c r="D125" s="188"/>
      <c r="E125" s="188"/>
      <c r="F125" s="277"/>
      <c r="G125" s="277"/>
      <c r="H125" s="27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  <c r="U125" s="363"/>
      <c r="V125" s="363"/>
      <c r="W125" s="238"/>
      <c r="X125" s="188"/>
      <c r="Y125" s="188"/>
      <c r="Z125" s="188"/>
      <c r="AA125" s="188"/>
      <c r="AB125" s="188"/>
    </row>
    <row r="126" spans="1:29" ht="16.5" x14ac:dyDescent="0.3">
      <c r="A126" s="188"/>
      <c r="B126" s="188"/>
      <c r="C126" s="188"/>
      <c r="D126" s="188"/>
      <c r="E126" s="188"/>
      <c r="F126" s="277"/>
      <c r="G126" s="277"/>
      <c r="H126" s="27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  <c r="U126" s="363"/>
      <c r="V126" s="363"/>
      <c r="W126" s="238"/>
      <c r="X126" s="188"/>
      <c r="Y126" s="188"/>
      <c r="Z126" s="188"/>
      <c r="AA126" s="188"/>
      <c r="AB126" s="188"/>
    </row>
    <row r="127" spans="1:29" ht="16.5" x14ac:dyDescent="0.3">
      <c r="A127" s="188"/>
      <c r="B127" s="188"/>
      <c r="C127" s="188"/>
      <c r="D127" s="188"/>
      <c r="E127" s="188"/>
      <c r="F127" s="277"/>
      <c r="G127" s="277"/>
      <c r="H127" s="27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363"/>
      <c r="V127" s="363"/>
      <c r="W127" s="238"/>
      <c r="X127" s="188"/>
      <c r="Y127" s="188"/>
      <c r="Z127" s="188"/>
      <c r="AA127" s="188"/>
      <c r="AB127" s="188"/>
    </row>
    <row r="128" spans="1:29" ht="16.5" x14ac:dyDescent="0.3">
      <c r="A128" s="188"/>
      <c r="B128" s="188"/>
      <c r="C128" s="188"/>
      <c r="D128" s="188"/>
      <c r="E128" s="188"/>
      <c r="F128" s="277"/>
      <c r="G128" s="277"/>
      <c r="H128" s="27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363"/>
      <c r="V128" s="363"/>
      <c r="W128" s="238"/>
      <c r="X128" s="188"/>
      <c r="Y128" s="188"/>
      <c r="Z128" s="188"/>
      <c r="AA128" s="188"/>
      <c r="AB128" s="188"/>
    </row>
    <row r="129" spans="1:28" ht="16.5" x14ac:dyDescent="0.3">
      <c r="A129" s="188"/>
      <c r="B129" s="188"/>
      <c r="C129" s="188"/>
      <c r="D129" s="188"/>
      <c r="E129" s="188"/>
      <c r="F129" s="277"/>
      <c r="G129" s="277"/>
      <c r="H129" s="27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  <c r="U129" s="363"/>
      <c r="V129" s="363"/>
      <c r="W129" s="238"/>
      <c r="X129" s="188"/>
      <c r="Y129" s="188"/>
      <c r="Z129" s="188"/>
      <c r="AA129" s="188"/>
      <c r="AB129" s="188"/>
    </row>
    <row r="130" spans="1:28" ht="16.5" x14ac:dyDescent="0.3">
      <c r="A130" s="188"/>
      <c r="B130" s="188"/>
      <c r="C130" s="188"/>
      <c r="D130" s="188"/>
      <c r="E130" s="188"/>
      <c r="F130" s="277"/>
      <c r="G130" s="277"/>
      <c r="H130" s="27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363"/>
      <c r="V130" s="363"/>
      <c r="W130" s="238"/>
      <c r="X130" s="188"/>
      <c r="Y130" s="188"/>
      <c r="Z130" s="188"/>
      <c r="AA130" s="188"/>
      <c r="AB130" s="188"/>
    </row>
    <row r="131" spans="1:28" x14ac:dyDescent="0.25">
      <c r="W131" s="339"/>
    </row>
    <row r="132" spans="1:28" x14ac:dyDescent="0.25">
      <c r="W132" s="339"/>
    </row>
    <row r="133" spans="1:28" x14ac:dyDescent="0.25">
      <c r="W133" s="339"/>
    </row>
  </sheetData>
  <autoFilter ref="AC1:AC63"/>
  <mergeCells count="4">
    <mergeCell ref="C2:D2"/>
    <mergeCell ref="C3:D3"/>
    <mergeCell ref="C62:D62"/>
    <mergeCell ref="C63:D63"/>
  </mergeCells>
  <conditionalFormatting sqref="H7">
    <cfRule type="containsText" dxfId="4" priority="2" operator="containsText" text="&quot;ejecutado&quot;">
      <formula>NOT(ISERROR(SEARCH("""ejecutado""",H7)))</formula>
    </cfRule>
  </conditionalFormatting>
  <dataValidations disablePrompts="1" count="1">
    <dataValidation type="list" allowBlank="1" showInputMessage="1" showErrorMessage="1" sqref="E5">
      <formula1>entidad</formula1>
    </dataValidation>
  </dataValidations>
  <pageMargins left="0.23622047244094491" right="3.937007874015748E-2" top="0.74803149606299213" bottom="0.74803149606299213" header="0.31496062992125984" footer="0.31496062992125984"/>
  <pageSetup paperSize="9" scale="40" orientation="landscape" r:id="rId1"/>
  <rowBreaks count="1" manualBreakCount="1">
    <brk id="59" min="1" max="23" man="1"/>
  </rowBreak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lineWeight="1.5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X98</xm:sqref>
            </x14:sparkline>
            <x14:sparkline>
              <xm:sqref>X99</xm:sqref>
            </x14:sparkline>
            <x14:sparkline>
              <xm:sqref>X100</xm:sqref>
            </x14:sparkline>
            <x14:sparkline>
              <xm:sqref>X101</xm:sqref>
            </x14:sparkline>
            <x14:sparkline>
              <xm:sqref>X102</xm:sqref>
            </x14:sparkline>
            <x14:sparkline>
              <xm:sqref>X104</xm:sqref>
            </x14:sparkline>
            <x14:sparkline>
              <xm:sqref>X84</xm:sqref>
            </x14:sparkline>
            <x14:sparkline>
              <xm:sqref>X90</xm:sqref>
            </x14:sparkline>
            <x14:sparkline>
              <xm:sqref>X91</xm:sqref>
            </x14:sparkline>
            <x14:sparkline>
              <xm:sqref>X85</xm:sqref>
            </x14:sparkline>
            <x14:sparkline>
              <xm:sqref>X86</xm:sqref>
            </x14:sparkline>
            <x14:sparkline>
              <xm:sqref>X92</xm:sqref>
            </x14:sparkline>
            <x14:sparkline>
              <xm:sqref>X93</xm:sqref>
            </x14:sparkline>
            <x14:sparkline>
              <xm:sqref>X105</xm:sqref>
            </x14:sparkline>
            <x14:sparkline>
              <xm:sqref>X106</xm:sqref>
            </x14:sparkline>
            <x14:sparkline>
              <xm:sqref>X107</xm:sqref>
            </x14:sparkline>
            <x14:sparkline>
              <xm:sqref>X108</xm:sqref>
            </x14:sparkline>
            <x14:sparkline>
              <xm:sqref>X111</xm:sqref>
            </x14:sparkline>
            <x14:sparkline>
              <xm:sqref>X112</xm:sqref>
            </x14:sparkline>
            <x14:sparkline>
              <xm:sqref>X113</xm:sqref>
            </x14:sparkline>
            <x14:sparkline>
              <xm:sqref>X114</xm:sqref>
            </x14:sparkline>
            <x14:sparkline>
              <xm:sqref>Y98</xm:sqref>
            </x14:sparkline>
            <x14:sparkline>
              <xm:sqref>Y101</xm:sqref>
            </x14:sparkline>
            <x14:sparkline>
              <xm:sqref>Y102</xm:sqref>
            </x14:sparkline>
            <x14:sparkline>
              <xm:sqref>Y104</xm:sqref>
            </x14:sparkline>
            <x14:sparkline>
              <xm:sqref>Y84</xm:sqref>
            </x14:sparkline>
            <x14:sparkline>
              <xm:sqref>Y90</xm:sqref>
            </x14:sparkline>
            <x14:sparkline>
              <xm:sqref>Y91</xm:sqref>
            </x14:sparkline>
            <x14:sparkline>
              <xm:sqref>Y85</xm:sqref>
            </x14:sparkline>
            <x14:sparkline>
              <xm:sqref>Y86</xm:sqref>
            </x14:sparkline>
            <x14:sparkline>
              <xm:sqref>Y92</xm:sqref>
            </x14:sparkline>
            <x14:sparkline>
              <xm:sqref>Y93</xm:sqref>
            </x14:sparkline>
            <x14:sparkline>
              <xm:sqref>Y105</xm:sqref>
            </x14:sparkline>
            <x14:sparkline>
              <xm:sqref>Y106</xm:sqref>
            </x14:sparkline>
            <x14:sparkline>
              <xm:sqref>Y107</xm:sqref>
            </x14:sparkline>
            <x14:sparkline>
              <xm:sqref>Y108</xm:sqref>
            </x14:sparkline>
            <x14:sparkline>
              <xm:sqref>Y111</xm:sqref>
            </x14:sparkline>
            <x14:sparkline>
              <xm:sqref>Y112</xm:sqref>
            </x14:sparkline>
            <x14:sparkline>
              <xm:sqref>Y113</xm:sqref>
            </x14:sparkline>
            <x14:sparkline>
              <xm:sqref>Y114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workbookViewId="0">
      <selection activeCell="H18" sqref="H18"/>
    </sheetView>
  </sheetViews>
  <sheetFormatPr baseColWidth="10" defaultColWidth="11.42578125" defaultRowHeight="15" x14ac:dyDescent="0.25"/>
  <sheetData>
    <row r="1" spans="1:18" ht="15.75" x14ac:dyDescent="0.3">
      <c r="A1" s="279"/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</row>
    <row r="2" spans="1:18" ht="15.75" x14ac:dyDescent="0.3">
      <c r="A2" s="279"/>
      <c r="B2" s="280" t="s">
        <v>353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2"/>
      <c r="P2" s="282" t="s">
        <v>354</v>
      </c>
      <c r="Q2" s="279"/>
      <c r="R2" s="279"/>
    </row>
    <row r="3" spans="1:18" ht="15.75" x14ac:dyDescent="0.3">
      <c r="A3" s="279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</row>
    <row r="4" spans="1:18" ht="15.75" x14ac:dyDescent="0.3">
      <c r="A4" s="279"/>
      <c r="B4" s="283" t="s">
        <v>355</v>
      </c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79"/>
      <c r="R4" s="279"/>
    </row>
    <row r="5" spans="1:18" ht="15.75" x14ac:dyDescent="0.3">
      <c r="A5" s="279"/>
      <c r="B5" s="284" t="s">
        <v>356</v>
      </c>
      <c r="C5" s="285" t="s">
        <v>357</v>
      </c>
      <c r="D5" s="286"/>
      <c r="E5" s="286"/>
      <c r="F5" s="287" t="s">
        <v>358</v>
      </c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79"/>
      <c r="R5" s="279"/>
    </row>
    <row r="6" spans="1:18" ht="15.75" x14ac:dyDescent="0.3">
      <c r="A6" s="279"/>
      <c r="B6" s="284" t="s">
        <v>359</v>
      </c>
      <c r="C6" s="285" t="s">
        <v>360</v>
      </c>
      <c r="D6" s="286"/>
      <c r="E6" s="286"/>
      <c r="F6" s="287" t="s">
        <v>361</v>
      </c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79"/>
      <c r="R6" s="279"/>
    </row>
    <row r="7" spans="1:18" ht="15.75" x14ac:dyDescent="0.3">
      <c r="A7" s="279"/>
      <c r="B7" s="284" t="s">
        <v>362</v>
      </c>
      <c r="C7" s="285" t="s">
        <v>363</v>
      </c>
      <c r="D7" s="286"/>
      <c r="E7" s="286"/>
      <c r="F7" s="287" t="s">
        <v>364</v>
      </c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79"/>
      <c r="R7" s="279"/>
    </row>
    <row r="8" spans="1:18" ht="15.75" x14ac:dyDescent="0.3">
      <c r="A8" s="279"/>
      <c r="B8" s="284" t="s">
        <v>365</v>
      </c>
      <c r="C8" s="285" t="s">
        <v>366</v>
      </c>
      <c r="D8" s="286"/>
      <c r="E8" s="286"/>
      <c r="F8" s="287" t="s">
        <v>367</v>
      </c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79"/>
      <c r="R8" s="279"/>
    </row>
    <row r="9" spans="1:18" ht="15.75" x14ac:dyDescent="0.3">
      <c r="A9" s="279"/>
      <c r="B9" s="284" t="s">
        <v>368</v>
      </c>
      <c r="C9" s="285" t="s">
        <v>369</v>
      </c>
      <c r="D9" s="288"/>
      <c r="E9" s="288"/>
      <c r="F9" s="287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79"/>
      <c r="R9" s="279"/>
    </row>
    <row r="10" spans="1:18" ht="15.75" x14ac:dyDescent="0.3">
      <c r="A10" s="279"/>
      <c r="B10" s="288"/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79"/>
      <c r="R10" s="279"/>
    </row>
    <row r="11" spans="1:18" ht="15.75" x14ac:dyDescent="0.3">
      <c r="A11" s="279"/>
      <c r="B11" s="283" t="s">
        <v>370</v>
      </c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79"/>
      <c r="R11" s="279"/>
    </row>
    <row r="12" spans="1:18" ht="15.75" x14ac:dyDescent="0.3">
      <c r="A12" s="279"/>
      <c r="B12" s="284" t="s">
        <v>371</v>
      </c>
      <c r="C12" s="285" t="s">
        <v>372</v>
      </c>
      <c r="D12" s="286"/>
      <c r="E12" s="286"/>
      <c r="F12" s="287" t="s">
        <v>373</v>
      </c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79"/>
      <c r="R12" s="279"/>
    </row>
    <row r="13" spans="1:18" ht="15.75" x14ac:dyDescent="0.3">
      <c r="A13" s="279"/>
      <c r="B13" s="284" t="s">
        <v>374</v>
      </c>
      <c r="C13" s="285" t="s">
        <v>375</v>
      </c>
      <c r="D13" s="286"/>
      <c r="E13" s="286"/>
      <c r="F13" s="287" t="s">
        <v>376</v>
      </c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79"/>
      <c r="R13" s="279"/>
    </row>
    <row r="14" spans="1:18" ht="15.75" x14ac:dyDescent="0.3">
      <c r="A14" s="279"/>
      <c r="B14" s="284"/>
      <c r="C14" s="285"/>
      <c r="D14" s="286"/>
      <c r="E14" s="286"/>
      <c r="F14" s="287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79"/>
      <c r="R14" s="279"/>
    </row>
    <row r="15" spans="1:18" ht="15.75" x14ac:dyDescent="0.3">
      <c r="A15" s="279"/>
      <c r="B15" s="283" t="s">
        <v>377</v>
      </c>
      <c r="C15" s="283"/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283"/>
      <c r="O15" s="283"/>
      <c r="P15" s="283"/>
      <c r="Q15" s="279"/>
      <c r="R15" s="279"/>
    </row>
    <row r="16" spans="1:18" ht="15.75" x14ac:dyDescent="0.3">
      <c r="A16" s="279"/>
      <c r="B16" s="289">
        <v>1</v>
      </c>
      <c r="C16" s="285" t="s">
        <v>130</v>
      </c>
      <c r="D16" s="289">
        <v>1</v>
      </c>
      <c r="E16" s="286"/>
      <c r="F16" s="287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79"/>
      <c r="R16" s="279"/>
    </row>
    <row r="17" spans="1:18" ht="15.75" x14ac:dyDescent="0.3">
      <c r="A17" s="279"/>
      <c r="B17" s="289">
        <v>2</v>
      </c>
      <c r="C17" s="285" t="s">
        <v>334</v>
      </c>
      <c r="D17" s="289">
        <v>2</v>
      </c>
      <c r="E17" s="286"/>
      <c r="F17" s="287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79"/>
      <c r="R17" s="279"/>
    </row>
    <row r="18" spans="1:18" ht="15.75" x14ac:dyDescent="0.3">
      <c r="A18" s="279"/>
      <c r="B18" s="289">
        <v>3</v>
      </c>
      <c r="C18" s="285" t="s">
        <v>335</v>
      </c>
      <c r="D18" s="289">
        <v>3</v>
      </c>
      <c r="E18" s="286"/>
      <c r="F18" s="287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79"/>
      <c r="R18" s="279"/>
    </row>
    <row r="19" spans="1:18" ht="15.75" x14ac:dyDescent="0.3">
      <c r="A19" s="279"/>
      <c r="B19" s="289">
        <v>4</v>
      </c>
      <c r="C19" s="285" t="s">
        <v>190</v>
      </c>
      <c r="D19" s="289">
        <v>4</v>
      </c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79"/>
      <c r="R19" s="279"/>
    </row>
    <row r="20" spans="1:18" ht="15.75" x14ac:dyDescent="0.3">
      <c r="A20" s="279"/>
      <c r="B20" s="289">
        <v>5</v>
      </c>
      <c r="C20" s="285" t="s">
        <v>336</v>
      </c>
      <c r="D20" s="289">
        <v>5</v>
      </c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79"/>
      <c r="R20" s="279"/>
    </row>
    <row r="21" spans="1:18" ht="15.75" x14ac:dyDescent="0.3">
      <c r="A21" s="279"/>
      <c r="B21" s="289">
        <v>6</v>
      </c>
      <c r="C21" s="285" t="s">
        <v>337</v>
      </c>
      <c r="D21" s="289">
        <v>6</v>
      </c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79"/>
      <c r="R21" s="279"/>
    </row>
    <row r="22" spans="1:18" ht="15.75" x14ac:dyDescent="0.3">
      <c r="A22" s="279"/>
      <c r="B22" s="289">
        <v>7</v>
      </c>
      <c r="C22" s="285" t="s">
        <v>338</v>
      </c>
      <c r="D22" s="289">
        <v>7</v>
      </c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79"/>
      <c r="R22" s="279"/>
    </row>
    <row r="23" spans="1:18" ht="15.75" x14ac:dyDescent="0.3">
      <c r="A23" s="279"/>
      <c r="B23" s="289">
        <v>8</v>
      </c>
      <c r="C23" s="285" t="s">
        <v>339</v>
      </c>
      <c r="D23" s="289">
        <v>8</v>
      </c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79"/>
      <c r="R23" s="279"/>
    </row>
    <row r="24" spans="1:18" ht="15.75" x14ac:dyDescent="0.3">
      <c r="A24" s="279"/>
      <c r="B24" s="289">
        <v>9</v>
      </c>
      <c r="C24" s="285" t="s">
        <v>340</v>
      </c>
      <c r="D24" s="289">
        <v>9</v>
      </c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79"/>
      <c r="R24" s="279"/>
    </row>
    <row r="25" spans="1:18" ht="15.75" x14ac:dyDescent="0.3">
      <c r="A25" s="279"/>
      <c r="B25" s="289">
        <v>10</v>
      </c>
      <c r="C25" s="285" t="s">
        <v>341</v>
      </c>
      <c r="D25" s="289">
        <v>10</v>
      </c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79"/>
      <c r="R25" s="279"/>
    </row>
    <row r="26" spans="1:18" ht="15.75" x14ac:dyDescent="0.3">
      <c r="A26" s="279"/>
      <c r="B26" s="289">
        <v>11</v>
      </c>
      <c r="C26" s="285" t="s">
        <v>342</v>
      </c>
      <c r="D26" s="289">
        <v>11</v>
      </c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79"/>
      <c r="R26" s="279"/>
    </row>
    <row r="27" spans="1:18" ht="15.75" x14ac:dyDescent="0.3">
      <c r="A27" s="279"/>
      <c r="B27" s="289">
        <v>12</v>
      </c>
      <c r="C27" s="285" t="s">
        <v>343</v>
      </c>
      <c r="D27" s="289">
        <v>12</v>
      </c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79"/>
      <c r="R27" s="279"/>
    </row>
    <row r="28" spans="1:18" ht="15.75" x14ac:dyDescent="0.3">
      <c r="A28" s="279"/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79"/>
      <c r="R28" s="279"/>
    </row>
    <row r="29" spans="1:18" ht="15.75" x14ac:dyDescent="0.3">
      <c r="A29" s="279"/>
      <c r="B29" s="283" t="s">
        <v>378</v>
      </c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79"/>
      <c r="R29" s="279"/>
    </row>
    <row r="30" spans="1:18" ht="15.75" x14ac:dyDescent="0.3">
      <c r="A30" s="279"/>
      <c r="B30" s="288" t="s">
        <v>379</v>
      </c>
      <c r="C30" s="288" t="s">
        <v>380</v>
      </c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79"/>
      <c r="R30" s="279"/>
    </row>
    <row r="31" spans="1:18" ht="15.75" x14ac:dyDescent="0.3">
      <c r="A31" s="279"/>
      <c r="B31" s="288" t="s">
        <v>381</v>
      </c>
      <c r="C31" s="288" t="s">
        <v>382</v>
      </c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79"/>
      <c r="R31" s="279"/>
    </row>
    <row r="32" spans="1:18" ht="15.75" x14ac:dyDescent="0.3">
      <c r="A32" s="279"/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79"/>
      <c r="R32" s="279"/>
    </row>
    <row r="33" spans="1:18" ht="15.75" x14ac:dyDescent="0.3">
      <c r="A33" s="279"/>
      <c r="B33" s="283" t="s">
        <v>383</v>
      </c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79"/>
      <c r="R33" s="279"/>
    </row>
    <row r="34" spans="1:18" ht="15.75" x14ac:dyDescent="0.3">
      <c r="A34" s="279"/>
      <c r="B34" s="288" t="s">
        <v>384</v>
      </c>
      <c r="C34" s="288" t="s">
        <v>385</v>
      </c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79"/>
      <c r="R34" s="279"/>
    </row>
    <row r="35" spans="1:18" ht="15.75" x14ac:dyDescent="0.3">
      <c r="A35" s="279"/>
      <c r="B35" s="288" t="s">
        <v>386</v>
      </c>
      <c r="C35" s="288" t="s">
        <v>387</v>
      </c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79"/>
      <c r="R35" s="279"/>
    </row>
    <row r="36" spans="1:18" ht="15.75" x14ac:dyDescent="0.3">
      <c r="A36" s="279"/>
      <c r="B36" s="279" t="s">
        <v>388</v>
      </c>
      <c r="C36" s="279" t="s">
        <v>389</v>
      </c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</row>
    <row r="37" spans="1:18" ht="15.75" x14ac:dyDescent="0.3">
      <c r="A37" s="279"/>
      <c r="B37" s="288" t="s">
        <v>390</v>
      </c>
      <c r="C37" s="279" t="s">
        <v>391</v>
      </c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</row>
    <row r="38" spans="1:18" ht="15.75" x14ac:dyDescent="0.3">
      <c r="A38" s="27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9"/>
    </row>
    <row r="39" spans="1:18" ht="15.75" x14ac:dyDescent="0.3">
      <c r="A39" s="279"/>
      <c r="B39" s="283" t="s">
        <v>392</v>
      </c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79"/>
      <c r="R39" s="279"/>
    </row>
    <row r="40" spans="1:18" ht="15.75" x14ac:dyDescent="0.3">
      <c r="A40" s="279"/>
      <c r="B40" s="288" t="s">
        <v>393</v>
      </c>
      <c r="C40" s="288" t="s">
        <v>293</v>
      </c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8"/>
      <c r="Q40" s="279"/>
      <c r="R40" s="279"/>
    </row>
    <row r="41" spans="1:18" ht="15.75" x14ac:dyDescent="0.3">
      <c r="A41" s="279"/>
      <c r="B41" s="288" t="s">
        <v>394</v>
      </c>
      <c r="C41" s="288" t="s">
        <v>215</v>
      </c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79"/>
      <c r="R41" s="279"/>
    </row>
    <row r="42" spans="1:18" ht="15.75" x14ac:dyDescent="0.3">
      <c r="A42" s="279"/>
      <c r="B42" s="288" t="s">
        <v>395</v>
      </c>
      <c r="C42" s="279" t="s">
        <v>294</v>
      </c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</row>
    <row r="43" spans="1:18" ht="15.75" x14ac:dyDescent="0.3">
      <c r="A43" s="279"/>
      <c r="B43" s="288" t="s">
        <v>396</v>
      </c>
      <c r="C43" s="279" t="s">
        <v>295</v>
      </c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79"/>
      <c r="Q43" s="279"/>
      <c r="R43" s="279"/>
    </row>
    <row r="44" spans="1:18" ht="15.75" x14ac:dyDescent="0.3">
      <c r="A44" s="279"/>
      <c r="B44" s="288" t="s">
        <v>397</v>
      </c>
      <c r="C44" s="279" t="s">
        <v>296</v>
      </c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</row>
    <row r="45" spans="1:18" ht="15.75" x14ac:dyDescent="0.3">
      <c r="A45" s="279"/>
      <c r="B45" s="288" t="s">
        <v>398</v>
      </c>
      <c r="C45" s="279" t="s">
        <v>253</v>
      </c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</row>
    <row r="46" spans="1:18" ht="15.75" x14ac:dyDescent="0.3">
      <c r="A46" s="279"/>
      <c r="B46" s="288" t="s">
        <v>399</v>
      </c>
      <c r="C46" s="279" t="s">
        <v>297</v>
      </c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</row>
    <row r="47" spans="1:18" ht="15.75" x14ac:dyDescent="0.3">
      <c r="A47" s="279"/>
      <c r="B47" s="288" t="s">
        <v>400</v>
      </c>
      <c r="C47" s="279" t="s">
        <v>298</v>
      </c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/>
    </row>
    <row r="48" spans="1:18" ht="15.75" x14ac:dyDescent="0.3">
      <c r="A48" s="279"/>
      <c r="B48" s="288" t="s">
        <v>401</v>
      </c>
      <c r="C48" s="279" t="s">
        <v>299</v>
      </c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</row>
    <row r="49" spans="1:18" ht="15.75" x14ac:dyDescent="0.3">
      <c r="A49" s="279"/>
      <c r="B49" s="288" t="s">
        <v>402</v>
      </c>
      <c r="C49" s="279" t="s">
        <v>300</v>
      </c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</row>
    <row r="50" spans="1:18" ht="15.75" x14ac:dyDescent="0.3">
      <c r="A50" s="279"/>
      <c r="B50" s="288" t="s">
        <v>403</v>
      </c>
      <c r="C50" s="279" t="s">
        <v>301</v>
      </c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</row>
    <row r="51" spans="1:18" ht="15.75" x14ac:dyDescent="0.3">
      <c r="A51" s="279"/>
      <c r="B51" s="288" t="s">
        <v>404</v>
      </c>
      <c r="C51" s="279" t="s">
        <v>302</v>
      </c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</row>
    <row r="52" spans="1:18" ht="15.75" x14ac:dyDescent="0.3">
      <c r="A52" s="279"/>
      <c r="B52" s="288" t="s">
        <v>405</v>
      </c>
      <c r="C52" s="279" t="s">
        <v>240</v>
      </c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</row>
    <row r="53" spans="1:18" ht="15.75" x14ac:dyDescent="0.3">
      <c r="A53" s="279"/>
      <c r="B53" s="288" t="s">
        <v>406</v>
      </c>
      <c r="C53" s="279" t="s">
        <v>303</v>
      </c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</row>
    <row r="54" spans="1:18" ht="15.75" x14ac:dyDescent="0.3">
      <c r="A54" s="279"/>
      <c r="B54" s="288" t="s">
        <v>407</v>
      </c>
      <c r="C54" s="279" t="s">
        <v>304</v>
      </c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</row>
    <row r="55" spans="1:18" ht="15.75" x14ac:dyDescent="0.3">
      <c r="A55" s="279"/>
      <c r="B55" s="288" t="s">
        <v>408</v>
      </c>
      <c r="C55" s="279" t="s">
        <v>454</v>
      </c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79"/>
      <c r="Q55" s="279"/>
      <c r="R55" s="279"/>
    </row>
    <row r="56" spans="1:18" ht="15.75" x14ac:dyDescent="0.3">
      <c r="A56" s="279"/>
      <c r="B56" s="288" t="s">
        <v>409</v>
      </c>
      <c r="C56" s="279" t="s">
        <v>410</v>
      </c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</row>
    <row r="57" spans="1:18" ht="15.75" x14ac:dyDescent="0.3">
      <c r="A57" s="279"/>
      <c r="B57" s="288" t="s">
        <v>411</v>
      </c>
      <c r="C57" s="279" t="s">
        <v>434</v>
      </c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  <c r="Q57" s="279"/>
      <c r="R57" s="279"/>
    </row>
    <row r="58" spans="1:18" ht="15.75" x14ac:dyDescent="0.3">
      <c r="A58" s="279"/>
      <c r="B58" s="288" t="s">
        <v>412</v>
      </c>
      <c r="C58" s="279" t="s">
        <v>455</v>
      </c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</row>
    <row r="59" spans="1:18" ht="15.75" x14ac:dyDescent="0.3">
      <c r="A59" s="279"/>
      <c r="B59" s="288" t="s">
        <v>413</v>
      </c>
      <c r="C59" s="279" t="s">
        <v>456</v>
      </c>
      <c r="D59" s="279"/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279"/>
      <c r="R59" s="279"/>
    </row>
    <row r="60" spans="1:18" ht="15.75" x14ac:dyDescent="0.3">
      <c r="A60" s="279"/>
      <c r="B60" s="288" t="s">
        <v>414</v>
      </c>
      <c r="C60" s="279" t="s">
        <v>132</v>
      </c>
      <c r="D60" s="279"/>
      <c r="E60" s="279"/>
      <c r="F60" s="279"/>
      <c r="G60" s="279"/>
      <c r="H60" s="279"/>
      <c r="I60" s="279"/>
      <c r="J60" s="279"/>
      <c r="K60" s="279"/>
      <c r="L60" s="279"/>
      <c r="M60" s="279"/>
      <c r="N60" s="279"/>
      <c r="O60" s="279"/>
      <c r="P60" s="279"/>
      <c r="Q60" s="279"/>
      <c r="R60" s="279"/>
    </row>
    <row r="61" spans="1:18" ht="15.75" x14ac:dyDescent="0.3">
      <c r="A61" s="279"/>
      <c r="B61" s="288" t="s">
        <v>415</v>
      </c>
      <c r="C61" s="279" t="s">
        <v>245</v>
      </c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279"/>
      <c r="O61" s="279"/>
      <c r="P61" s="279"/>
      <c r="Q61" s="279"/>
      <c r="R61" s="279"/>
    </row>
    <row r="62" spans="1:18" ht="15.75" x14ac:dyDescent="0.3">
      <c r="A62" s="279"/>
      <c r="B62" s="288" t="s">
        <v>444</v>
      </c>
      <c r="C62" s="279" t="s">
        <v>431</v>
      </c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</row>
    <row r="63" spans="1:18" ht="15.75" x14ac:dyDescent="0.3">
      <c r="A63" s="279"/>
      <c r="B63" s="288" t="s">
        <v>445</v>
      </c>
      <c r="C63" s="279" t="s">
        <v>442</v>
      </c>
      <c r="D63" s="279"/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</row>
    <row r="64" spans="1:18" ht="15.75" x14ac:dyDescent="0.3">
      <c r="A64" s="279"/>
      <c r="B64" s="288" t="s">
        <v>446</v>
      </c>
      <c r="C64" s="279" t="s">
        <v>438</v>
      </c>
      <c r="D64" s="279"/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79"/>
      <c r="P64" s="279"/>
      <c r="Q64" s="279"/>
      <c r="R64" s="279"/>
    </row>
    <row r="65" spans="1:18" ht="15.75" x14ac:dyDescent="0.3">
      <c r="A65" s="279"/>
      <c r="B65" s="288" t="s">
        <v>447</v>
      </c>
      <c r="C65" s="279" t="s">
        <v>439</v>
      </c>
      <c r="D65" s="279"/>
      <c r="E65" s="279"/>
      <c r="F65" s="279"/>
      <c r="G65" s="279"/>
      <c r="H65" s="279"/>
      <c r="I65" s="279"/>
      <c r="J65" s="279"/>
      <c r="K65" s="279"/>
      <c r="L65" s="279"/>
      <c r="M65" s="279"/>
      <c r="N65" s="279"/>
      <c r="O65" s="279"/>
      <c r="P65" s="279"/>
      <c r="Q65" s="279"/>
      <c r="R65" s="279"/>
    </row>
    <row r="66" spans="1:18" ht="15.75" x14ac:dyDescent="0.3">
      <c r="A66" s="279"/>
      <c r="B66" s="288" t="s">
        <v>448</v>
      </c>
      <c r="C66" s="279" t="s">
        <v>441</v>
      </c>
      <c r="D66" s="279"/>
      <c r="E66" s="279"/>
      <c r="F66" s="279"/>
      <c r="G66" s="279"/>
      <c r="H66" s="279"/>
      <c r="I66" s="279"/>
      <c r="J66" s="279"/>
      <c r="K66" s="279"/>
      <c r="L66" s="279"/>
      <c r="M66" s="279"/>
      <c r="N66" s="279"/>
      <c r="O66" s="279"/>
      <c r="P66" s="279"/>
      <c r="Q66" s="279"/>
      <c r="R66" s="279"/>
    </row>
    <row r="67" spans="1:18" ht="15.75" x14ac:dyDescent="0.3">
      <c r="A67" s="279"/>
      <c r="B67" s="279"/>
      <c r="C67" s="279"/>
      <c r="D67" s="279"/>
      <c r="E67" s="279"/>
      <c r="F67" s="279"/>
      <c r="G67" s="279"/>
      <c r="H67" s="279"/>
      <c r="I67" s="279"/>
      <c r="J67" s="279"/>
      <c r="K67" s="279"/>
      <c r="L67" s="279"/>
      <c r="M67" s="279"/>
      <c r="N67" s="279"/>
      <c r="O67" s="279"/>
      <c r="P67" s="279"/>
      <c r="Q67" s="279"/>
      <c r="R67" s="279"/>
    </row>
    <row r="68" spans="1:18" ht="15.75" x14ac:dyDescent="0.3">
      <c r="A68" s="279"/>
      <c r="B68" s="290" t="s">
        <v>416</v>
      </c>
      <c r="C68" s="290"/>
      <c r="D68" s="290"/>
      <c r="E68" s="290"/>
      <c r="F68" s="290"/>
      <c r="G68" s="290"/>
      <c r="H68" s="290"/>
      <c r="I68" s="290"/>
      <c r="J68" s="290"/>
      <c r="K68" s="290"/>
      <c r="L68" s="290"/>
      <c r="M68" s="290"/>
      <c r="N68" s="290"/>
      <c r="O68" s="290"/>
      <c r="P68" s="290"/>
      <c r="Q68" s="290"/>
      <c r="R68" s="279"/>
    </row>
    <row r="69" spans="1:18" ht="15.75" x14ac:dyDescent="0.3">
      <c r="A69" s="279"/>
      <c r="B69" s="291" t="s">
        <v>417</v>
      </c>
      <c r="C69" s="292" t="s">
        <v>418</v>
      </c>
      <c r="D69" s="293"/>
      <c r="E69" s="291"/>
      <c r="F69" s="293"/>
      <c r="G69" s="294"/>
      <c r="H69" s="295"/>
      <c r="I69" s="295"/>
      <c r="J69" s="295"/>
      <c r="K69" s="295"/>
      <c r="L69" s="295"/>
      <c r="M69" s="295"/>
      <c r="N69" s="295"/>
      <c r="O69" s="295"/>
      <c r="P69" s="295"/>
      <c r="Q69" s="294"/>
      <c r="R69" s="279"/>
    </row>
    <row r="70" spans="1:18" ht="15.75" x14ac:dyDescent="0.3">
      <c r="A70" s="279"/>
      <c r="B70" s="291" t="s">
        <v>419</v>
      </c>
      <c r="C70" s="292" t="s">
        <v>420</v>
      </c>
      <c r="D70" s="293"/>
      <c r="E70" s="291"/>
      <c r="F70" s="293"/>
      <c r="G70" s="294"/>
      <c r="H70" s="295"/>
      <c r="I70" s="295"/>
      <c r="J70" s="295"/>
      <c r="K70" s="295"/>
      <c r="L70" s="295"/>
      <c r="M70" s="295"/>
      <c r="N70" s="295"/>
      <c r="O70" s="295"/>
      <c r="P70" s="295"/>
      <c r="Q70" s="294"/>
      <c r="R70" s="279"/>
    </row>
    <row r="71" spans="1:18" ht="15.75" x14ac:dyDescent="0.3">
      <c r="A71" s="279"/>
      <c r="B71" s="291" t="s">
        <v>421</v>
      </c>
      <c r="C71" s="292" t="s">
        <v>422</v>
      </c>
      <c r="D71" s="294"/>
      <c r="E71" s="291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79"/>
    </row>
    <row r="72" spans="1:18" ht="15.75" x14ac:dyDescent="0.3">
      <c r="A72" s="279"/>
      <c r="B72" s="291" t="s">
        <v>423</v>
      </c>
      <c r="C72" s="292" t="s">
        <v>424</v>
      </c>
      <c r="D72" s="294"/>
      <c r="E72" s="294"/>
      <c r="F72" s="294"/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79"/>
    </row>
    <row r="73" spans="1:18" ht="15.75" x14ac:dyDescent="0.3">
      <c r="A73" s="279"/>
      <c r="B73" s="291" t="s">
        <v>425</v>
      </c>
      <c r="C73" s="292" t="s">
        <v>426</v>
      </c>
      <c r="D73" s="294"/>
      <c r="E73" s="294"/>
      <c r="F73" s="294"/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79"/>
    </row>
    <row r="74" spans="1:18" ht="15.75" x14ac:dyDescent="0.3">
      <c r="A74" s="279"/>
      <c r="B74" s="279"/>
      <c r="C74" s="279"/>
      <c r="D74" s="279"/>
      <c r="E74" s="279"/>
      <c r="F74" s="279"/>
      <c r="G74" s="279"/>
      <c r="H74" s="279"/>
      <c r="I74" s="279"/>
      <c r="J74" s="279"/>
      <c r="K74" s="279"/>
      <c r="L74" s="279"/>
      <c r="M74" s="279"/>
      <c r="N74" s="279"/>
      <c r="O74" s="279"/>
      <c r="P74" s="279"/>
      <c r="Q74" s="279"/>
      <c r="R74" s="279"/>
    </row>
    <row r="75" spans="1:18" ht="15.75" x14ac:dyDescent="0.3">
      <c r="A75" s="279"/>
      <c r="B75" s="290" t="s">
        <v>427</v>
      </c>
      <c r="C75" s="290"/>
      <c r="D75" s="290"/>
      <c r="E75" s="290"/>
      <c r="F75" s="290"/>
      <c r="G75" s="290"/>
      <c r="H75" s="290"/>
      <c r="I75" s="290"/>
      <c r="J75" s="290"/>
      <c r="K75" s="290"/>
      <c r="L75" s="290"/>
      <c r="M75" s="290"/>
      <c r="N75" s="290"/>
      <c r="O75" s="290"/>
      <c r="P75" s="290"/>
      <c r="Q75" s="290"/>
      <c r="R75" s="279"/>
    </row>
    <row r="76" spans="1:18" x14ac:dyDescent="0.25">
      <c r="B76" s="292" t="s">
        <v>293</v>
      </c>
      <c r="C76" s="291" t="s">
        <v>293</v>
      </c>
      <c r="D76" s="291" t="s">
        <v>428</v>
      </c>
      <c r="E76" s="291" t="s">
        <v>428</v>
      </c>
      <c r="F76" s="291"/>
    </row>
    <row r="77" spans="1:18" x14ac:dyDescent="0.25">
      <c r="B77" s="292" t="s">
        <v>299</v>
      </c>
      <c r="C77" s="291" t="s">
        <v>299</v>
      </c>
      <c r="D77" s="291" t="s">
        <v>428</v>
      </c>
      <c r="E77" s="291" t="s">
        <v>428</v>
      </c>
      <c r="F77" s="291"/>
    </row>
    <row r="78" spans="1:18" x14ac:dyDescent="0.25">
      <c r="B78" s="292" t="s">
        <v>301</v>
      </c>
      <c r="C78" s="291" t="s">
        <v>301</v>
      </c>
      <c r="D78" s="291" t="s">
        <v>428</v>
      </c>
      <c r="E78" s="291" t="s">
        <v>428</v>
      </c>
      <c r="F78" s="291"/>
    </row>
    <row r="79" spans="1:18" x14ac:dyDescent="0.25">
      <c r="B79" s="292" t="s">
        <v>295</v>
      </c>
      <c r="C79" s="291" t="s">
        <v>295</v>
      </c>
      <c r="D79" s="291" t="s">
        <v>429</v>
      </c>
      <c r="E79" s="291" t="s">
        <v>429</v>
      </c>
      <c r="F79" s="291"/>
    </row>
    <row r="80" spans="1:18" x14ac:dyDescent="0.25">
      <c r="B80" s="292" t="s">
        <v>245</v>
      </c>
      <c r="C80" s="291" t="s">
        <v>295</v>
      </c>
      <c r="D80" s="291" t="s">
        <v>430</v>
      </c>
      <c r="E80" s="291" t="s">
        <v>430</v>
      </c>
      <c r="F80" s="291"/>
    </row>
    <row r="81" spans="2:6" x14ac:dyDescent="0.25">
      <c r="B81" s="292" t="s">
        <v>303</v>
      </c>
      <c r="C81" s="291" t="s">
        <v>303</v>
      </c>
      <c r="D81" s="291" t="s">
        <v>429</v>
      </c>
      <c r="E81" s="291" t="s">
        <v>429</v>
      </c>
      <c r="F81" s="291"/>
    </row>
    <row r="82" spans="2:6" x14ac:dyDescent="0.25">
      <c r="B82" s="292" t="s">
        <v>294</v>
      </c>
      <c r="C82" s="291" t="s">
        <v>294</v>
      </c>
      <c r="D82" s="291" t="s">
        <v>428</v>
      </c>
      <c r="E82" s="291" t="s">
        <v>428</v>
      </c>
      <c r="F82" s="291"/>
    </row>
    <row r="83" spans="2:6" x14ac:dyDescent="0.25">
      <c r="B83" s="292" t="s">
        <v>431</v>
      </c>
      <c r="C83" s="291" t="s">
        <v>294</v>
      </c>
      <c r="D83" s="291" t="s">
        <v>430</v>
      </c>
      <c r="E83" s="291" t="s">
        <v>430</v>
      </c>
      <c r="F83" s="291"/>
    </row>
    <row r="84" spans="2:6" x14ac:dyDescent="0.25">
      <c r="B84" s="292" t="s">
        <v>304</v>
      </c>
      <c r="C84" s="291" t="s">
        <v>304</v>
      </c>
      <c r="D84" s="291" t="s">
        <v>429</v>
      </c>
      <c r="E84" s="291" t="s">
        <v>429</v>
      </c>
      <c r="F84" s="291"/>
    </row>
    <row r="85" spans="2:6" x14ac:dyDescent="0.25">
      <c r="B85" s="292" t="s">
        <v>240</v>
      </c>
      <c r="C85" s="291" t="s">
        <v>240</v>
      </c>
      <c r="D85" s="291" t="s">
        <v>429</v>
      </c>
      <c r="E85" s="291" t="s">
        <v>429</v>
      </c>
      <c r="F85" s="291"/>
    </row>
    <row r="86" spans="2:6" x14ac:dyDescent="0.25">
      <c r="B86" s="292" t="s">
        <v>253</v>
      </c>
      <c r="C86" s="291" t="s">
        <v>253</v>
      </c>
      <c r="D86" s="291" t="s">
        <v>428</v>
      </c>
      <c r="E86" s="291" t="s">
        <v>428</v>
      </c>
      <c r="F86" s="291"/>
    </row>
    <row r="87" spans="2:6" x14ac:dyDescent="0.25">
      <c r="B87" s="292" t="s">
        <v>297</v>
      </c>
      <c r="C87" s="291" t="s">
        <v>297</v>
      </c>
      <c r="D87" s="291" t="s">
        <v>428</v>
      </c>
      <c r="E87" s="291" t="s">
        <v>428</v>
      </c>
      <c r="F87" s="291"/>
    </row>
    <row r="88" spans="2:6" x14ac:dyDescent="0.25">
      <c r="B88" s="292" t="s">
        <v>298</v>
      </c>
      <c r="C88" s="291" t="s">
        <v>298</v>
      </c>
      <c r="D88" s="291" t="s">
        <v>429</v>
      </c>
      <c r="E88" s="291" t="s">
        <v>429</v>
      </c>
      <c r="F88" s="291"/>
    </row>
    <row r="89" spans="2:6" x14ac:dyDescent="0.25">
      <c r="B89" s="292" t="s">
        <v>300</v>
      </c>
      <c r="C89" s="291" t="s">
        <v>132</v>
      </c>
      <c r="D89" s="291" t="s">
        <v>432</v>
      </c>
      <c r="E89" s="291" t="s">
        <v>432</v>
      </c>
      <c r="F89" s="291"/>
    </row>
    <row r="90" spans="2:6" x14ac:dyDescent="0.25">
      <c r="B90" s="292" t="s">
        <v>433</v>
      </c>
      <c r="C90" s="291" t="s">
        <v>132</v>
      </c>
      <c r="D90" s="291" t="s">
        <v>432</v>
      </c>
      <c r="E90" s="291" t="s">
        <v>432</v>
      </c>
      <c r="F90" s="291"/>
    </row>
    <row r="91" spans="2:6" x14ac:dyDescent="0.25">
      <c r="B91" s="292" t="s">
        <v>434</v>
      </c>
      <c r="C91" s="291" t="s">
        <v>132</v>
      </c>
      <c r="D91" s="291" t="s">
        <v>432</v>
      </c>
      <c r="E91" s="291" t="s">
        <v>432</v>
      </c>
      <c r="F91" s="291"/>
    </row>
    <row r="92" spans="2:6" x14ac:dyDescent="0.25">
      <c r="B92" s="292" t="s">
        <v>435</v>
      </c>
      <c r="C92" s="291" t="s">
        <v>132</v>
      </c>
      <c r="D92" s="291" t="s">
        <v>432</v>
      </c>
      <c r="E92" s="291" t="s">
        <v>432</v>
      </c>
      <c r="F92" s="291"/>
    </row>
    <row r="93" spans="2:6" x14ac:dyDescent="0.25">
      <c r="B93" s="292" t="s">
        <v>410</v>
      </c>
      <c r="C93" s="291" t="s">
        <v>132</v>
      </c>
      <c r="D93" s="291" t="s">
        <v>432</v>
      </c>
      <c r="E93" s="291" t="s">
        <v>432</v>
      </c>
      <c r="F93" s="291"/>
    </row>
    <row r="94" spans="2:6" x14ac:dyDescent="0.25">
      <c r="B94" s="292" t="s">
        <v>436</v>
      </c>
      <c r="C94" s="291" t="s">
        <v>132</v>
      </c>
      <c r="D94" s="291" t="s">
        <v>432</v>
      </c>
      <c r="E94" s="291" t="s">
        <v>432</v>
      </c>
      <c r="F94" s="291"/>
    </row>
    <row r="95" spans="2:6" x14ac:dyDescent="0.25">
      <c r="B95" s="292" t="s">
        <v>442</v>
      </c>
      <c r="C95" s="292" t="s">
        <v>132</v>
      </c>
      <c r="D95" s="291" t="s">
        <v>432</v>
      </c>
      <c r="E95" s="291" t="s">
        <v>430</v>
      </c>
      <c r="F95" s="291"/>
    </row>
    <row r="96" spans="2:6" x14ac:dyDescent="0.25">
      <c r="B96" s="292" t="s">
        <v>132</v>
      </c>
      <c r="C96" s="292" t="s">
        <v>132</v>
      </c>
      <c r="D96" s="291" t="s">
        <v>432</v>
      </c>
      <c r="E96" s="291" t="s">
        <v>432</v>
      </c>
      <c r="F96" s="291"/>
    </row>
    <row r="97" spans="2:6" x14ac:dyDescent="0.25">
      <c r="B97" s="292" t="s">
        <v>437</v>
      </c>
      <c r="C97" s="291" t="s">
        <v>437</v>
      </c>
      <c r="D97" s="291" t="s">
        <v>428</v>
      </c>
      <c r="E97" s="291" t="s">
        <v>428</v>
      </c>
      <c r="F97" s="291"/>
    </row>
    <row r="98" spans="2:6" x14ac:dyDescent="0.25">
      <c r="B98" s="292" t="s">
        <v>438</v>
      </c>
      <c r="C98" s="291" t="s">
        <v>437</v>
      </c>
      <c r="D98" s="291" t="s">
        <v>430</v>
      </c>
      <c r="E98" s="291" t="s">
        <v>430</v>
      </c>
      <c r="F98" s="291"/>
    </row>
    <row r="99" spans="2:6" x14ac:dyDescent="0.25">
      <c r="B99" s="292" t="s">
        <v>215</v>
      </c>
      <c r="C99" s="291" t="s">
        <v>215</v>
      </c>
      <c r="D99" s="291" t="s">
        <v>428</v>
      </c>
      <c r="E99" s="291" t="s">
        <v>428</v>
      </c>
      <c r="F99" s="291"/>
    </row>
    <row r="100" spans="2:6" x14ac:dyDescent="0.25">
      <c r="B100" s="292" t="s">
        <v>439</v>
      </c>
      <c r="C100" s="291" t="s">
        <v>215</v>
      </c>
      <c r="D100" s="291" t="s">
        <v>428</v>
      </c>
      <c r="E100" s="291" t="s">
        <v>428</v>
      </c>
      <c r="F100" s="291"/>
    </row>
    <row r="101" spans="2:6" x14ac:dyDescent="0.25">
      <c r="B101" s="292" t="s">
        <v>441</v>
      </c>
      <c r="C101" s="291" t="s">
        <v>440</v>
      </c>
      <c r="D101" s="291" t="s">
        <v>428</v>
      </c>
      <c r="E101" s="291" t="s">
        <v>428</v>
      </c>
      <c r="F101" s="291"/>
    </row>
    <row r="102" spans="2:6" x14ac:dyDescent="0.25">
      <c r="B102" s="292"/>
      <c r="C102" s="292"/>
      <c r="D102" s="292"/>
      <c r="E102" s="291"/>
    </row>
    <row r="103" spans="2:6" x14ac:dyDescent="0.25">
      <c r="B103" s="291"/>
      <c r="C103" s="292"/>
      <c r="D103" s="291"/>
      <c r="E103" s="292"/>
      <c r="F103" s="29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topLeftCell="E1" workbookViewId="0">
      <pane xSplit="3" ySplit="5" topLeftCell="O6" activePane="bottomRight" state="frozen"/>
      <selection activeCell="E1" sqref="E1"/>
      <selection pane="topRight" activeCell="H1" sqref="H1"/>
      <selection pane="bottomLeft" activeCell="E6" sqref="E6"/>
      <selection pane="bottomRight" activeCell="U13" sqref="U13"/>
    </sheetView>
  </sheetViews>
  <sheetFormatPr baseColWidth="10" defaultRowHeight="15" x14ac:dyDescent="0.25"/>
  <cols>
    <col min="1" max="6" width="11.42578125" style="391"/>
    <col min="7" max="7" width="30.28515625" style="391" customWidth="1"/>
    <col min="8" max="8" width="18" style="391" customWidth="1"/>
    <col min="9" max="9" width="1.140625" style="391" customWidth="1"/>
    <col min="10" max="10" width="19.5703125" style="391" customWidth="1"/>
    <col min="11" max="11" width="11.42578125" style="391"/>
    <col min="12" max="13" width="11.7109375" style="391" bestFit="1" customWidth="1"/>
    <col min="14" max="22" width="12.28515625" style="391" bestFit="1" customWidth="1"/>
    <col min="23" max="23" width="16.42578125" style="391" bestFit="1" customWidth="1"/>
    <col min="24" max="24" width="13" style="391" customWidth="1"/>
    <col min="25" max="16384" width="11.42578125" style="391"/>
  </cols>
  <sheetData>
    <row r="1" spans="1:24" x14ac:dyDescent="0.25">
      <c r="A1" s="513" t="s">
        <v>487</v>
      </c>
      <c r="B1" s="513"/>
      <c r="C1" s="513"/>
      <c r="D1" s="513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</row>
    <row r="2" spans="1:24" x14ac:dyDescent="0.25">
      <c r="A2" s="514" t="s">
        <v>488</v>
      </c>
      <c r="B2" s="514"/>
      <c r="C2" s="514"/>
      <c r="D2" s="514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</row>
    <row r="3" spans="1:24" ht="15" customHeight="1" x14ac:dyDescent="0.25">
      <c r="A3" s="392" t="s">
        <v>489</v>
      </c>
      <c r="B3" s="393"/>
      <c r="C3" s="392" t="s">
        <v>490</v>
      </c>
      <c r="D3" s="515" t="s">
        <v>491</v>
      </c>
      <c r="E3" s="516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</row>
    <row r="4" spans="1:24" ht="15" customHeight="1" x14ac:dyDescent="0.25">
      <c r="A4" s="394" t="s">
        <v>488</v>
      </c>
      <c r="B4" s="517" t="s">
        <v>488</v>
      </c>
      <c r="C4" s="517"/>
      <c r="D4" s="517"/>
      <c r="E4" s="517" t="s">
        <v>488</v>
      </c>
      <c r="F4" s="517"/>
      <c r="G4" s="394"/>
      <c r="H4" s="526" t="s">
        <v>519</v>
      </c>
      <c r="I4" s="395" t="s">
        <v>520</v>
      </c>
      <c r="J4" s="395" t="s">
        <v>521</v>
      </c>
      <c r="K4" s="524" t="s">
        <v>492</v>
      </c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3" t="s">
        <v>524</v>
      </c>
      <c r="X4" s="523" t="s">
        <v>525</v>
      </c>
    </row>
    <row r="5" spans="1:24" ht="15" customHeight="1" x14ac:dyDescent="0.25">
      <c r="A5" s="396" t="s">
        <v>493</v>
      </c>
      <c r="B5" s="525" t="s">
        <v>490</v>
      </c>
      <c r="C5" s="525"/>
      <c r="D5" s="525"/>
      <c r="E5" s="525" t="s">
        <v>494</v>
      </c>
      <c r="F5" s="525"/>
      <c r="G5" s="396" t="s">
        <v>495</v>
      </c>
      <c r="H5" s="526"/>
      <c r="I5" s="395"/>
      <c r="J5" s="395"/>
      <c r="K5" s="395" t="s">
        <v>496</v>
      </c>
      <c r="L5" s="395" t="s">
        <v>497</v>
      </c>
      <c r="M5" s="395" t="s">
        <v>498</v>
      </c>
      <c r="N5" s="395" t="s">
        <v>499</v>
      </c>
      <c r="O5" s="395" t="s">
        <v>500</v>
      </c>
      <c r="P5" s="395" t="s">
        <v>501</v>
      </c>
      <c r="Q5" s="395" t="s">
        <v>502</v>
      </c>
      <c r="R5" s="395" t="s">
        <v>503</v>
      </c>
      <c r="S5" s="395" t="s">
        <v>504</v>
      </c>
      <c r="T5" s="395" t="s">
        <v>505</v>
      </c>
      <c r="U5" s="395" t="s">
        <v>506</v>
      </c>
      <c r="V5" s="395" t="s">
        <v>507</v>
      </c>
      <c r="W5" s="523"/>
      <c r="X5" s="523"/>
    </row>
    <row r="6" spans="1:24" ht="25.5" x14ac:dyDescent="0.25">
      <c r="A6" s="509">
        <v>777</v>
      </c>
      <c r="B6" s="510" t="s">
        <v>491</v>
      </c>
      <c r="C6" s="510"/>
      <c r="D6" s="510"/>
      <c r="E6" s="510" t="s">
        <v>508</v>
      </c>
      <c r="F6" s="510"/>
      <c r="G6" s="397" t="s">
        <v>509</v>
      </c>
      <c r="H6" s="398">
        <v>590000000</v>
      </c>
      <c r="I6" s="398"/>
      <c r="J6" s="398">
        <f>+H6+I6</f>
        <v>590000000</v>
      </c>
      <c r="K6" s="429">
        <v>45380000</v>
      </c>
      <c r="L6" s="429">
        <v>45380000</v>
      </c>
      <c r="M6" s="429">
        <v>45380000</v>
      </c>
      <c r="N6" s="429">
        <v>45380000</v>
      </c>
      <c r="O6" s="429">
        <v>45380000</v>
      </c>
      <c r="P6" s="429">
        <f>45380000+15000000</f>
        <v>60380000</v>
      </c>
      <c r="Q6" s="429">
        <f>45380000+15440000</f>
        <v>60820000</v>
      </c>
      <c r="R6" s="429">
        <v>45380000</v>
      </c>
      <c r="S6" s="429">
        <v>45380000</v>
      </c>
      <c r="T6" s="429">
        <v>45380000</v>
      </c>
      <c r="U6" s="429">
        <v>45380000</v>
      </c>
      <c r="V6" s="429">
        <f>45380000+15000000</f>
        <v>60380000</v>
      </c>
      <c r="W6" s="399">
        <f>SUM(K6:V6)</f>
        <v>590000000</v>
      </c>
      <c r="X6" s="399">
        <f>+H6-W6</f>
        <v>0</v>
      </c>
    </row>
    <row r="7" spans="1:24" ht="25.5" x14ac:dyDescent="0.25">
      <c r="A7" s="509"/>
      <c r="B7" s="510"/>
      <c r="C7" s="510"/>
      <c r="D7" s="510"/>
      <c r="E7" s="510"/>
      <c r="F7" s="510"/>
      <c r="G7" s="397" t="s">
        <v>510</v>
      </c>
      <c r="H7" s="398">
        <v>3505800000</v>
      </c>
      <c r="I7" s="398"/>
      <c r="J7" s="398">
        <f t="shared" ref="J7:J15" si="0">+H7+I7</f>
        <v>3505800000</v>
      </c>
      <c r="K7" s="429"/>
      <c r="L7" s="430">
        <v>438225000</v>
      </c>
      <c r="M7" s="430">
        <v>438225000</v>
      </c>
      <c r="N7" s="430">
        <v>438225000</v>
      </c>
      <c r="O7" s="429">
        <v>550000000</v>
      </c>
      <c r="P7" s="429">
        <v>235000000</v>
      </c>
      <c r="Q7" s="429">
        <v>235000000</v>
      </c>
      <c r="R7" s="429">
        <v>235000000</v>
      </c>
      <c r="S7" s="429">
        <v>235000000</v>
      </c>
      <c r="T7" s="429">
        <v>235000000</v>
      </c>
      <c r="U7" s="429">
        <v>235000000</v>
      </c>
      <c r="V7" s="429">
        <f>231035000+90000</f>
        <v>231125000</v>
      </c>
      <c r="W7" s="399">
        <f t="shared" ref="W7:W15" si="1">SUM(K7:V7)</f>
        <v>3505800000</v>
      </c>
      <c r="X7" s="399">
        <f t="shared" ref="X7:X15" si="2">+H7-W7</f>
        <v>0</v>
      </c>
    </row>
    <row r="8" spans="1:24" x14ac:dyDescent="0.25">
      <c r="A8" s="509"/>
      <c r="B8" s="510"/>
      <c r="C8" s="510"/>
      <c r="D8" s="510"/>
      <c r="E8" s="511" t="s">
        <v>511</v>
      </c>
      <c r="F8" s="511"/>
      <c r="G8" s="511"/>
      <c r="H8" s="399">
        <f>SUM(H6:H7)</f>
        <v>4095800000</v>
      </c>
      <c r="I8" s="399">
        <f t="shared" ref="I8:V8" si="3">SUM(I6:I7)</f>
        <v>0</v>
      </c>
      <c r="J8" s="399">
        <f t="shared" si="0"/>
        <v>4095800000</v>
      </c>
      <c r="K8" s="399">
        <f t="shared" si="3"/>
        <v>45380000</v>
      </c>
      <c r="L8" s="399">
        <f t="shared" si="3"/>
        <v>483605000</v>
      </c>
      <c r="M8" s="399">
        <f t="shared" si="3"/>
        <v>483605000</v>
      </c>
      <c r="N8" s="399">
        <f t="shared" si="3"/>
        <v>483605000</v>
      </c>
      <c r="O8" s="399">
        <f t="shared" si="3"/>
        <v>595380000</v>
      </c>
      <c r="P8" s="399">
        <f t="shared" si="3"/>
        <v>295380000</v>
      </c>
      <c r="Q8" s="399">
        <f t="shared" si="3"/>
        <v>295820000</v>
      </c>
      <c r="R8" s="399">
        <f t="shared" si="3"/>
        <v>280380000</v>
      </c>
      <c r="S8" s="399">
        <f t="shared" si="3"/>
        <v>280380000</v>
      </c>
      <c r="T8" s="399">
        <f t="shared" si="3"/>
        <v>280380000</v>
      </c>
      <c r="U8" s="399">
        <f t="shared" si="3"/>
        <v>280380000</v>
      </c>
      <c r="V8" s="399">
        <f t="shared" si="3"/>
        <v>291505000</v>
      </c>
      <c r="W8" s="399">
        <f t="shared" si="1"/>
        <v>4095800000</v>
      </c>
      <c r="X8" s="399">
        <f t="shared" si="2"/>
        <v>0</v>
      </c>
    </row>
    <row r="9" spans="1:24" ht="25.5" x14ac:dyDescent="0.25">
      <c r="A9" s="509"/>
      <c r="B9" s="510"/>
      <c r="C9" s="510"/>
      <c r="D9" s="510"/>
      <c r="E9" s="510" t="s">
        <v>512</v>
      </c>
      <c r="F9" s="510"/>
      <c r="G9" s="397" t="s">
        <v>513</v>
      </c>
      <c r="H9" s="398">
        <v>200000000</v>
      </c>
      <c r="I9" s="398"/>
      <c r="J9" s="398">
        <f t="shared" si="0"/>
        <v>200000000</v>
      </c>
      <c r="K9" s="429"/>
      <c r="L9" s="429">
        <v>15000000</v>
      </c>
      <c r="M9" s="429">
        <v>15000000</v>
      </c>
      <c r="N9" s="429">
        <v>15000000</v>
      </c>
      <c r="O9" s="429">
        <v>20000000</v>
      </c>
      <c r="P9" s="429">
        <v>23000000</v>
      </c>
      <c r="Q9" s="429">
        <v>15000000</v>
      </c>
      <c r="R9" s="429">
        <v>15000000</v>
      </c>
      <c r="S9" s="429">
        <v>16000000</v>
      </c>
      <c r="T9" s="429">
        <v>21500000</v>
      </c>
      <c r="U9" s="429">
        <v>21500000</v>
      </c>
      <c r="V9" s="429">
        <v>23000000</v>
      </c>
      <c r="W9" s="399">
        <f t="shared" si="1"/>
        <v>200000000</v>
      </c>
      <c r="X9" s="399">
        <f t="shared" si="2"/>
        <v>0</v>
      </c>
    </row>
    <row r="10" spans="1:24" ht="25.5" x14ac:dyDescent="0.25">
      <c r="A10" s="509"/>
      <c r="B10" s="510"/>
      <c r="C10" s="510"/>
      <c r="D10" s="510"/>
      <c r="E10" s="510"/>
      <c r="F10" s="510"/>
      <c r="G10" s="397" t="s">
        <v>514</v>
      </c>
      <c r="H10" s="398">
        <v>1500000000</v>
      </c>
      <c r="I10" s="398"/>
      <c r="J10" s="398">
        <f t="shared" si="0"/>
        <v>1500000000</v>
      </c>
      <c r="K10" s="429"/>
      <c r="L10" s="429">
        <v>200000000</v>
      </c>
      <c r="M10" s="429">
        <v>200000000</v>
      </c>
      <c r="N10" s="429">
        <v>200000000</v>
      </c>
      <c r="O10" s="429">
        <v>200000000</v>
      </c>
      <c r="P10" s="429">
        <v>200000000</v>
      </c>
      <c r="Q10" s="429">
        <v>100000000</v>
      </c>
      <c r="R10" s="429">
        <v>100000000</v>
      </c>
      <c r="S10" s="429">
        <v>100000000</v>
      </c>
      <c r="T10" s="429">
        <v>100000000</v>
      </c>
      <c r="U10" s="429">
        <v>100000000</v>
      </c>
      <c r="V10" s="429">
        <v>0</v>
      </c>
      <c r="W10" s="399">
        <f t="shared" si="1"/>
        <v>1500000000</v>
      </c>
      <c r="X10" s="399">
        <f t="shared" si="2"/>
        <v>0</v>
      </c>
    </row>
    <row r="11" spans="1:24" x14ac:dyDescent="0.25">
      <c r="A11" s="509"/>
      <c r="B11" s="510"/>
      <c r="C11" s="510"/>
      <c r="D11" s="510"/>
      <c r="E11" s="511" t="s">
        <v>523</v>
      </c>
      <c r="F11" s="511"/>
      <c r="G11" s="511"/>
      <c r="H11" s="399">
        <f>SUM(H9:H10)</f>
        <v>1700000000</v>
      </c>
      <c r="I11" s="399">
        <f t="shared" ref="I11:V11" si="4">SUM(I9:I10)</f>
        <v>0</v>
      </c>
      <c r="J11" s="399">
        <f t="shared" si="0"/>
        <v>1700000000</v>
      </c>
      <c r="K11" s="399">
        <f t="shared" si="4"/>
        <v>0</v>
      </c>
      <c r="L11" s="399">
        <f t="shared" si="4"/>
        <v>215000000</v>
      </c>
      <c r="M11" s="399">
        <f t="shared" si="4"/>
        <v>215000000</v>
      </c>
      <c r="N11" s="399">
        <f t="shared" si="4"/>
        <v>215000000</v>
      </c>
      <c r="O11" s="399">
        <f t="shared" si="4"/>
        <v>220000000</v>
      </c>
      <c r="P11" s="399">
        <f t="shared" si="4"/>
        <v>223000000</v>
      </c>
      <c r="Q11" s="399">
        <f t="shared" si="4"/>
        <v>115000000</v>
      </c>
      <c r="R11" s="399">
        <f t="shared" si="4"/>
        <v>115000000</v>
      </c>
      <c r="S11" s="399">
        <f t="shared" si="4"/>
        <v>116000000</v>
      </c>
      <c r="T11" s="399">
        <f t="shared" si="4"/>
        <v>121500000</v>
      </c>
      <c r="U11" s="399">
        <f t="shared" si="4"/>
        <v>121500000</v>
      </c>
      <c r="V11" s="399">
        <f t="shared" si="4"/>
        <v>23000000</v>
      </c>
      <c r="W11" s="399">
        <f t="shared" si="1"/>
        <v>1700000000</v>
      </c>
      <c r="X11" s="399">
        <f t="shared" si="2"/>
        <v>0</v>
      </c>
    </row>
    <row r="12" spans="1:24" x14ac:dyDescent="0.25">
      <c r="A12" s="509"/>
      <c r="B12" s="510"/>
      <c r="C12" s="510"/>
      <c r="D12" s="510"/>
      <c r="E12" s="510" t="s">
        <v>515</v>
      </c>
      <c r="F12" s="510"/>
      <c r="G12" s="397" t="s">
        <v>516</v>
      </c>
      <c r="H12" s="398">
        <v>5259543386</v>
      </c>
      <c r="I12" s="398"/>
      <c r="J12" s="398">
        <f t="shared" si="0"/>
        <v>5259543386</v>
      </c>
      <c r="K12" s="398"/>
      <c r="L12" s="398">
        <v>50000000</v>
      </c>
      <c r="M12" s="398">
        <v>202202305.16324827</v>
      </c>
      <c r="N12" s="398">
        <v>281345908.58843476</v>
      </c>
      <c r="O12" s="398">
        <v>424850201.15031314</v>
      </c>
      <c r="P12" s="398">
        <f>748555785.556458-P27</f>
        <v>525245394.36961913</v>
      </c>
      <c r="Q12" s="398">
        <f>696647099.244628-Q27</f>
        <v>598064708.05778909</v>
      </c>
      <c r="R12" s="398">
        <f>838047942.330696-R27</f>
        <v>739465551.14385712</v>
      </c>
      <c r="S12" s="398">
        <f>914642264.063925-S27</f>
        <v>816059872.87708616</v>
      </c>
      <c r="T12" s="398">
        <f>967509059.457884-T27</f>
        <v>868926668.27104509</v>
      </c>
      <c r="U12" s="398">
        <v>1909237817.3326638</v>
      </c>
      <c r="V12" s="398">
        <v>736566396.58395481</v>
      </c>
      <c r="W12" s="399">
        <f t="shared" si="1"/>
        <v>7151964823.5380106</v>
      </c>
      <c r="X12" s="399">
        <f t="shared" si="2"/>
        <v>-1892421437.5380106</v>
      </c>
    </row>
    <row r="13" spans="1:24" ht="38.25" x14ac:dyDescent="0.25">
      <c r="A13" s="509"/>
      <c r="B13" s="510"/>
      <c r="C13" s="510"/>
      <c r="D13" s="510"/>
      <c r="E13" s="510"/>
      <c r="F13" s="510"/>
      <c r="G13" s="397" t="s">
        <v>522</v>
      </c>
      <c r="H13" s="398">
        <v>234014767</v>
      </c>
      <c r="I13" s="398"/>
      <c r="J13" s="398">
        <f t="shared" si="0"/>
        <v>234014767</v>
      </c>
      <c r="K13" s="398">
        <v>0</v>
      </c>
      <c r="L13" s="398">
        <v>42546052.767767996</v>
      </c>
      <c r="M13" s="398">
        <v>59192119.705535069</v>
      </c>
      <c r="N13" s="398">
        <v>62269053.401362717</v>
      </c>
      <c r="O13" s="398">
        <v>81905252.123963401</v>
      </c>
      <c r="P13" s="398">
        <v>237780625.6314002</v>
      </c>
      <c r="Q13" s="398">
        <v>178133890.37894017</v>
      </c>
      <c r="R13" s="398">
        <v>158490680.38295698</v>
      </c>
      <c r="S13" s="398">
        <v>156316973.70655417</v>
      </c>
      <c r="T13" s="398">
        <v>148088952.4795242</v>
      </c>
      <c r="U13" s="398">
        <f>125769654.083329-U27</f>
        <v>27187262.896490112</v>
      </c>
      <c r="V13" s="398">
        <f>125769654.083329-V27</f>
        <v>107487262.89649011</v>
      </c>
      <c r="W13" s="399">
        <f t="shared" si="1"/>
        <v>1259398126.370985</v>
      </c>
      <c r="X13" s="399">
        <f t="shared" si="2"/>
        <v>-1025383359.370985</v>
      </c>
    </row>
    <row r="14" spans="1:24" x14ac:dyDescent="0.25">
      <c r="A14" s="509"/>
      <c r="B14" s="510"/>
      <c r="C14" s="510"/>
      <c r="D14" s="510"/>
      <c r="E14" s="511" t="s">
        <v>517</v>
      </c>
      <c r="F14" s="511"/>
      <c r="G14" s="511"/>
      <c r="H14" s="399">
        <f>SUM(H12:H13)</f>
        <v>5493558153</v>
      </c>
      <c r="I14" s="399">
        <f t="shared" ref="I14:V14" si="5">SUM(I12:I13)</f>
        <v>0</v>
      </c>
      <c r="J14" s="399">
        <f t="shared" si="0"/>
        <v>5493558153</v>
      </c>
      <c r="K14" s="399">
        <f t="shared" si="5"/>
        <v>0</v>
      </c>
      <c r="L14" s="399">
        <f t="shared" si="5"/>
        <v>92546052.767767996</v>
      </c>
      <c r="M14" s="399">
        <f t="shared" si="5"/>
        <v>261394424.86878335</v>
      </c>
      <c r="N14" s="399">
        <f t="shared" si="5"/>
        <v>343614961.98979747</v>
      </c>
      <c r="O14" s="399">
        <f t="shared" si="5"/>
        <v>506755453.27427655</v>
      </c>
      <c r="P14" s="399">
        <f t="shared" si="5"/>
        <v>763026020.00101936</v>
      </c>
      <c r="Q14" s="399">
        <f t="shared" si="5"/>
        <v>776198598.43672919</v>
      </c>
      <c r="R14" s="399">
        <f t="shared" si="5"/>
        <v>897956231.5268141</v>
      </c>
      <c r="S14" s="399">
        <f t="shared" si="5"/>
        <v>972376846.58364034</v>
      </c>
      <c r="T14" s="399">
        <f t="shared" si="5"/>
        <v>1017015620.7505693</v>
      </c>
      <c r="U14" s="399">
        <f t="shared" si="5"/>
        <v>1936425080.2291539</v>
      </c>
      <c r="V14" s="399">
        <f t="shared" si="5"/>
        <v>844053659.48044491</v>
      </c>
      <c r="W14" s="399">
        <f t="shared" si="1"/>
        <v>8411362949.9089966</v>
      </c>
      <c r="X14" s="399">
        <f t="shared" si="2"/>
        <v>-2917804796.9089966</v>
      </c>
    </row>
    <row r="15" spans="1:24" x14ac:dyDescent="0.25">
      <c r="A15" s="509"/>
      <c r="B15" s="512" t="s">
        <v>518</v>
      </c>
      <c r="C15" s="512"/>
      <c r="D15" s="512"/>
      <c r="E15" s="512"/>
      <c r="F15" s="512"/>
      <c r="G15" s="512"/>
      <c r="H15" s="400">
        <f>SUM(H14,H11,H8)</f>
        <v>11289358153</v>
      </c>
      <c r="I15" s="400">
        <f t="shared" ref="I15:V15" si="6">SUM(I14,I11,I8)</f>
        <v>0</v>
      </c>
      <c r="J15" s="400">
        <f t="shared" si="0"/>
        <v>11289358153</v>
      </c>
      <c r="K15" s="400">
        <f t="shared" si="6"/>
        <v>45380000</v>
      </c>
      <c r="L15" s="400">
        <f>SUM(L14,L11,L8)</f>
        <v>791151052.76776803</v>
      </c>
      <c r="M15" s="400">
        <f t="shared" si="6"/>
        <v>959999424.86878335</v>
      </c>
      <c r="N15" s="400">
        <f t="shared" si="6"/>
        <v>1042219961.9897975</v>
      </c>
      <c r="O15" s="400">
        <f t="shared" si="6"/>
        <v>1322135453.2742765</v>
      </c>
      <c r="P15" s="400">
        <f t="shared" si="6"/>
        <v>1281406020.0010195</v>
      </c>
      <c r="Q15" s="400">
        <f t="shared" si="6"/>
        <v>1187018598.4367292</v>
      </c>
      <c r="R15" s="400">
        <f t="shared" si="6"/>
        <v>1293336231.526814</v>
      </c>
      <c r="S15" s="400">
        <f t="shared" si="6"/>
        <v>1368756846.5836403</v>
      </c>
      <c r="T15" s="400">
        <f t="shared" si="6"/>
        <v>1418895620.7505693</v>
      </c>
      <c r="U15" s="400">
        <f t="shared" si="6"/>
        <v>2338305080.2291536</v>
      </c>
      <c r="V15" s="400">
        <f t="shared" si="6"/>
        <v>1158558659.4804449</v>
      </c>
      <c r="W15" s="400">
        <f t="shared" si="1"/>
        <v>14207162949.908997</v>
      </c>
      <c r="X15" s="400">
        <f t="shared" si="2"/>
        <v>-2917804796.9089966</v>
      </c>
    </row>
    <row r="17" spans="5:23" x14ac:dyDescent="0.25">
      <c r="K17" s="400">
        <f>+K7+K10+K12+K13</f>
        <v>0</v>
      </c>
      <c r="L17" s="400">
        <f>+L7+L10+L12+L13</f>
        <v>730771052.76776803</v>
      </c>
      <c r="M17" s="400">
        <f t="shared" ref="M17:V17" si="7">+M7+M10+M12+M13</f>
        <v>899619424.86878335</v>
      </c>
      <c r="N17" s="400">
        <f t="shared" si="7"/>
        <v>981839961.98979735</v>
      </c>
      <c r="O17" s="400">
        <f t="shared" si="7"/>
        <v>1256755453.2742765</v>
      </c>
      <c r="P17" s="400">
        <f t="shared" si="7"/>
        <v>1198026020.0010192</v>
      </c>
      <c r="Q17" s="400">
        <f t="shared" si="7"/>
        <v>1111198598.4367292</v>
      </c>
      <c r="R17" s="400">
        <f t="shared" si="7"/>
        <v>1232956231.526814</v>
      </c>
      <c r="S17" s="400">
        <f t="shared" si="7"/>
        <v>1307376846.5836403</v>
      </c>
      <c r="T17" s="400">
        <f t="shared" si="7"/>
        <v>1352015620.7505693</v>
      </c>
      <c r="U17" s="400">
        <f t="shared" si="7"/>
        <v>2271425080.2291536</v>
      </c>
      <c r="V17" s="400">
        <f t="shared" si="7"/>
        <v>1075178659.4804449</v>
      </c>
      <c r="W17" s="400">
        <f>SUM(L17:V17)</f>
        <v>13417162949.908997</v>
      </c>
    </row>
    <row r="18" spans="5:23" x14ac:dyDescent="0.25">
      <c r="E18" s="527" t="s">
        <v>571</v>
      </c>
      <c r="F18" s="528"/>
      <c r="G18" s="529"/>
      <c r="K18" s="434"/>
      <c r="L18" s="434"/>
      <c r="M18" s="434"/>
      <c r="N18" s="434"/>
      <c r="O18" s="434">
        <v>736454391.18683887</v>
      </c>
      <c r="P18" s="434">
        <v>223310391.1868389</v>
      </c>
      <c r="Q18" s="434">
        <v>98582391.186838895</v>
      </c>
      <c r="R18" s="434">
        <v>98582391.186838895</v>
      </c>
      <c r="S18" s="434">
        <v>98582391.186838895</v>
      </c>
      <c r="T18" s="434">
        <v>98582391.186838895</v>
      </c>
      <c r="U18" s="434">
        <v>98582391.186838895</v>
      </c>
      <c r="V18" s="434">
        <v>18282391.186838891</v>
      </c>
      <c r="W18" s="435">
        <v>1470959129.4947109</v>
      </c>
    </row>
    <row r="19" spans="5:23" x14ac:dyDescent="0.25">
      <c r="K19" s="400">
        <f>+K17+K18</f>
        <v>0</v>
      </c>
      <c r="L19" s="400">
        <f>+L17+L18</f>
        <v>730771052.76776803</v>
      </c>
      <c r="M19" s="400">
        <f t="shared" ref="M19:V19" si="8">+M17+M18</f>
        <v>899619424.86878335</v>
      </c>
      <c r="N19" s="400">
        <f t="shared" si="8"/>
        <v>981839961.98979735</v>
      </c>
      <c r="O19" s="400">
        <f t="shared" si="8"/>
        <v>1993209844.4611154</v>
      </c>
      <c r="P19" s="400">
        <f t="shared" si="8"/>
        <v>1421336411.1878581</v>
      </c>
      <c r="Q19" s="400">
        <f t="shared" si="8"/>
        <v>1209780989.6235681</v>
      </c>
      <c r="R19" s="400">
        <f t="shared" si="8"/>
        <v>1331538622.7136528</v>
      </c>
      <c r="S19" s="400">
        <f t="shared" si="8"/>
        <v>1405959237.7704792</v>
      </c>
      <c r="T19" s="400">
        <f t="shared" si="8"/>
        <v>1450598011.9374082</v>
      </c>
      <c r="U19" s="400">
        <f t="shared" si="8"/>
        <v>2370007471.4159927</v>
      </c>
      <c r="V19" s="400">
        <f t="shared" si="8"/>
        <v>1093461050.6672838</v>
      </c>
      <c r="W19" s="400">
        <f>SUM(L19:V19)</f>
        <v>14888122079.403708</v>
      </c>
    </row>
    <row r="22" spans="5:23" x14ac:dyDescent="0.25">
      <c r="E22" s="518" t="s">
        <v>515</v>
      </c>
      <c r="F22" s="519"/>
      <c r="G22" s="431" t="s">
        <v>568</v>
      </c>
      <c r="K22" s="429"/>
      <c r="L22" s="429">
        <v>15000000</v>
      </c>
      <c r="M22" s="429">
        <v>60660691.548974484</v>
      </c>
      <c r="N22" s="429">
        <v>84403772.576530427</v>
      </c>
      <c r="O22" s="429">
        <v>127455060.34509395</v>
      </c>
      <c r="P22" s="429">
        <v>157573618.31088579</v>
      </c>
      <c r="Q22" s="429">
        <v>179419412.41733673</v>
      </c>
      <c r="R22" s="429">
        <v>221839665.34315714</v>
      </c>
      <c r="S22" s="429">
        <v>244817961.86312574</v>
      </c>
      <c r="T22" s="429">
        <v>260678000.48131362</v>
      </c>
      <c r="U22" s="429">
        <v>543196627.8437475</v>
      </c>
      <c r="V22" s="429">
        <v>215485201.61913478</v>
      </c>
      <c r="W22" s="432">
        <v>2110530012.3493004</v>
      </c>
    </row>
    <row r="23" spans="5:23" x14ac:dyDescent="0.25">
      <c r="E23" s="520"/>
      <c r="F23" s="521"/>
      <c r="G23" s="431" t="s">
        <v>569</v>
      </c>
      <c r="K23" s="429"/>
      <c r="L23" s="429">
        <v>35000000</v>
      </c>
      <c r="M23" s="429">
        <v>141541613.61427379</v>
      </c>
      <c r="N23" s="429">
        <v>196942136.01190433</v>
      </c>
      <c r="O23" s="429">
        <v>297395140.80521923</v>
      </c>
      <c r="P23" s="429">
        <v>367671776.05873352</v>
      </c>
      <c r="Q23" s="429">
        <v>418645295.64045233</v>
      </c>
      <c r="R23" s="429">
        <v>517625885.80069995</v>
      </c>
      <c r="S23" s="429">
        <v>571241911.01396</v>
      </c>
      <c r="T23" s="429">
        <v>608248667.78973174</v>
      </c>
      <c r="U23" s="429">
        <v>1267458798.3020775</v>
      </c>
      <c r="V23" s="429">
        <v>502798803.7779811</v>
      </c>
      <c r="W23" s="432">
        <v>4924570028.815033</v>
      </c>
    </row>
    <row r="24" spans="5:23" x14ac:dyDescent="0.25">
      <c r="E24" s="520"/>
      <c r="F24" s="521"/>
      <c r="G24" s="431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32"/>
    </row>
    <row r="25" spans="5:23" x14ac:dyDescent="0.25">
      <c r="E25" s="520"/>
      <c r="F25" s="521"/>
      <c r="G25" s="431" t="s">
        <v>570</v>
      </c>
      <c r="K25" s="429"/>
      <c r="L25" s="429">
        <v>42546052.767767996</v>
      </c>
      <c r="M25" s="429">
        <v>59192119.705535069</v>
      </c>
      <c r="N25" s="429">
        <v>62269053.401362717</v>
      </c>
      <c r="O25" s="429">
        <v>81905252.123963401</v>
      </c>
      <c r="P25" s="429">
        <v>237780625.6314002</v>
      </c>
      <c r="Q25" s="429">
        <v>178133890.37894017</v>
      </c>
      <c r="R25" s="429">
        <v>158490680.38295698</v>
      </c>
      <c r="S25" s="429">
        <v>156316973.70655417</v>
      </c>
      <c r="T25" s="429">
        <v>148088952.4795242</v>
      </c>
      <c r="U25" s="429">
        <v>125769654.08332938</v>
      </c>
      <c r="V25" s="429">
        <v>125769654.08332938</v>
      </c>
      <c r="W25" s="432">
        <v>1376262908.7446637</v>
      </c>
    </row>
    <row r="26" spans="5:23" x14ac:dyDescent="0.25">
      <c r="E26" s="520"/>
      <c r="F26" s="521"/>
      <c r="G26" s="431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32"/>
    </row>
    <row r="27" spans="5:23" ht="63.75" x14ac:dyDescent="0.25">
      <c r="E27" s="520"/>
      <c r="F27" s="522"/>
      <c r="G27" s="433" t="s">
        <v>571</v>
      </c>
      <c r="K27" s="434"/>
      <c r="L27" s="434"/>
      <c r="M27" s="434"/>
      <c r="N27" s="434"/>
      <c r="O27" s="434">
        <v>736454391.18683887</v>
      </c>
      <c r="P27" s="434">
        <v>223310391.1868389</v>
      </c>
      <c r="Q27" s="434">
        <v>98582391.186838895</v>
      </c>
      <c r="R27" s="434">
        <v>98582391.186838895</v>
      </c>
      <c r="S27" s="434">
        <v>98582391.186838895</v>
      </c>
      <c r="T27" s="434">
        <v>98582391.186838895</v>
      </c>
      <c r="U27" s="434">
        <v>98582391.186838895</v>
      </c>
      <c r="V27" s="434">
        <v>18282391.186838891</v>
      </c>
      <c r="W27" s="435">
        <v>1470959129.4947109</v>
      </c>
    </row>
    <row r="30" spans="5:23" x14ac:dyDescent="0.25">
      <c r="G30" s="438" t="s">
        <v>573</v>
      </c>
      <c r="K30" s="439" t="s">
        <v>496</v>
      </c>
      <c r="L30" s="439" t="s">
        <v>497</v>
      </c>
      <c r="M30" s="439" t="s">
        <v>498</v>
      </c>
      <c r="N30" s="439" t="s">
        <v>499</v>
      </c>
      <c r="O30" s="439" t="s">
        <v>500</v>
      </c>
      <c r="P30" s="439" t="s">
        <v>501</v>
      </c>
      <c r="Q30" s="439" t="s">
        <v>502</v>
      </c>
      <c r="R30" s="439" t="s">
        <v>503</v>
      </c>
      <c r="S30" s="439" t="s">
        <v>504</v>
      </c>
      <c r="T30" s="439" t="s">
        <v>505</v>
      </c>
      <c r="U30" s="439" t="s">
        <v>506</v>
      </c>
      <c r="V30" s="439" t="s">
        <v>507</v>
      </c>
      <c r="W30" s="439" t="s">
        <v>574</v>
      </c>
    </row>
    <row r="31" spans="5:23" x14ac:dyDescent="0.25">
      <c r="G31" s="440" t="s">
        <v>575</v>
      </c>
      <c r="K31" s="440">
        <v>42546052.767767996</v>
      </c>
      <c r="L31" s="440">
        <v>59192119.705535069</v>
      </c>
      <c r="M31" s="440">
        <v>62269053.401362717</v>
      </c>
      <c r="N31" s="440">
        <v>81905252.123963401</v>
      </c>
      <c r="O31" s="440">
        <v>237780625.6314002</v>
      </c>
      <c r="P31" s="440">
        <v>178133890.37894017</v>
      </c>
      <c r="Q31" s="440">
        <v>158490680.38295698</v>
      </c>
      <c r="R31" s="440">
        <v>156316973.70655417</v>
      </c>
      <c r="S31" s="440">
        <v>148088952.4795242</v>
      </c>
      <c r="T31" s="440">
        <v>125769654.08332938</v>
      </c>
      <c r="U31" s="440">
        <v>125769654.08332938</v>
      </c>
      <c r="V31" s="441">
        <v>98947421.181997374</v>
      </c>
      <c r="W31" s="441">
        <f>SUM(K31:V31)</f>
        <v>1475210329.926661</v>
      </c>
    </row>
    <row r="32" spans="5:23" x14ac:dyDescent="0.25">
      <c r="G32" s="440" t="s">
        <v>576</v>
      </c>
      <c r="K32" s="440">
        <v>350129157.28353041</v>
      </c>
      <c r="L32" s="440">
        <v>482603714.1537419</v>
      </c>
      <c r="M32" s="440">
        <v>766295598.68196785</v>
      </c>
      <c r="N32" s="440">
        <v>1331501690.6062357</v>
      </c>
      <c r="O32" s="440">
        <v>753746747.33212829</v>
      </c>
      <c r="P32" s="440">
        <v>715643487.88898456</v>
      </c>
      <c r="Q32" s="440">
        <v>724814574.03801084</v>
      </c>
      <c r="R32" s="440">
        <v>589608365.67116308</v>
      </c>
      <c r="S32" s="440">
        <v>574335151.62369061</v>
      </c>
      <c r="T32" s="440">
        <v>481626127.44467211</v>
      </c>
      <c r="U32" s="440">
        <v>459847423.17651707</v>
      </c>
      <c r="V32" s="441">
        <v>427741368.20933461</v>
      </c>
      <c r="W32" s="441">
        <f t="shared" ref="W32:W33" si="9">SUM(K32:V32)</f>
        <v>7657893406.1099787</v>
      </c>
    </row>
    <row r="33" spans="7:23" x14ac:dyDescent="0.25">
      <c r="G33" s="440" t="s">
        <v>577</v>
      </c>
      <c r="K33" s="440">
        <v>202202305.1632483</v>
      </c>
      <c r="L33" s="440">
        <v>281345908.58843476</v>
      </c>
      <c r="M33" s="440">
        <v>424850201.1503132</v>
      </c>
      <c r="N33" s="440">
        <v>525245394.36961931</v>
      </c>
      <c r="O33" s="440">
        <v>598064708.05778909</v>
      </c>
      <c r="P33" s="440">
        <v>739465551.14385712</v>
      </c>
      <c r="Q33" s="440">
        <v>816059872.8770858</v>
      </c>
      <c r="R33" s="440">
        <v>868926668.27104545</v>
      </c>
      <c r="S33" s="440">
        <v>1810655426.1458251</v>
      </c>
      <c r="T33" s="440">
        <v>718284005.39711595</v>
      </c>
      <c r="U33" s="440">
        <v>458914345.32003313</v>
      </c>
      <c r="V33" s="441">
        <v>323391015.53913432</v>
      </c>
      <c r="W33" s="441">
        <f t="shared" si="9"/>
        <v>7767405402.0235014</v>
      </c>
    </row>
    <row r="34" spans="7:23" x14ac:dyDescent="0.25">
      <c r="G34" s="444" t="s">
        <v>581</v>
      </c>
      <c r="K34" s="440">
        <f>SUM(K31:K33)</f>
        <v>594877515.21454668</v>
      </c>
      <c r="L34" s="440">
        <f t="shared" ref="L34:V34" si="10">SUM(L31:L33)</f>
        <v>823141742.44771171</v>
      </c>
      <c r="M34" s="440">
        <f t="shared" si="10"/>
        <v>1253414853.2336438</v>
      </c>
      <c r="N34" s="440">
        <f t="shared" si="10"/>
        <v>1938652337.0998185</v>
      </c>
      <c r="O34" s="440">
        <f t="shared" si="10"/>
        <v>1589592081.0213175</v>
      </c>
      <c r="P34" s="440">
        <f t="shared" si="10"/>
        <v>1633242929.4117818</v>
      </c>
      <c r="Q34" s="440">
        <f t="shared" si="10"/>
        <v>1699365127.2980537</v>
      </c>
      <c r="R34" s="440">
        <f t="shared" si="10"/>
        <v>1614852007.6487627</v>
      </c>
      <c r="S34" s="440">
        <f t="shared" si="10"/>
        <v>2533079530.2490396</v>
      </c>
      <c r="T34" s="440">
        <f t="shared" si="10"/>
        <v>1325679786.9251175</v>
      </c>
      <c r="U34" s="440">
        <f t="shared" si="10"/>
        <v>1044531422.5798795</v>
      </c>
      <c r="V34" s="441">
        <f t="shared" si="10"/>
        <v>850079804.93046629</v>
      </c>
      <c r="W34" s="442">
        <f>SUM(W31:W33)</f>
        <v>16900509138.060143</v>
      </c>
    </row>
    <row r="35" spans="7:23" x14ac:dyDescent="0.25">
      <c r="G35" s="445" t="s">
        <v>582</v>
      </c>
      <c r="K35" s="446">
        <f>+K19</f>
        <v>0</v>
      </c>
      <c r="L35" s="446">
        <f t="shared" ref="L35:V35" si="11">+L19</f>
        <v>730771052.76776803</v>
      </c>
      <c r="M35" s="446">
        <f t="shared" si="11"/>
        <v>899619424.86878335</v>
      </c>
      <c r="N35" s="446">
        <f t="shared" si="11"/>
        <v>981839961.98979735</v>
      </c>
      <c r="O35" s="446">
        <f t="shared" si="11"/>
        <v>1993209844.4611154</v>
      </c>
      <c r="P35" s="446">
        <f t="shared" si="11"/>
        <v>1421336411.1878581</v>
      </c>
      <c r="Q35" s="446">
        <f t="shared" si="11"/>
        <v>1209780989.6235681</v>
      </c>
      <c r="R35" s="446">
        <f t="shared" si="11"/>
        <v>1331538622.7136528</v>
      </c>
      <c r="S35" s="446">
        <f t="shared" si="11"/>
        <v>1405959237.7704792</v>
      </c>
      <c r="T35" s="446">
        <f t="shared" si="11"/>
        <v>1450598011.9374082</v>
      </c>
      <c r="U35" s="446">
        <f t="shared" si="11"/>
        <v>2370007471.4159927</v>
      </c>
      <c r="V35" s="446">
        <f t="shared" si="11"/>
        <v>1093461050.6672838</v>
      </c>
      <c r="W35" s="443"/>
    </row>
    <row r="36" spans="7:23" x14ac:dyDescent="0.25">
      <c r="G36" s="443"/>
      <c r="K36" s="443"/>
      <c r="L36" s="443"/>
      <c r="M36" s="443"/>
      <c r="N36" s="443"/>
      <c r="O36" s="443"/>
      <c r="P36" s="443"/>
      <c r="Q36" s="443"/>
      <c r="R36" s="443"/>
      <c r="S36" s="443"/>
      <c r="T36" s="443"/>
      <c r="U36" s="443"/>
      <c r="V36" s="443"/>
      <c r="W36" s="443"/>
    </row>
    <row r="37" spans="7:23" x14ac:dyDescent="0.25">
      <c r="G37" s="438" t="s">
        <v>578</v>
      </c>
      <c r="K37" s="439" t="s">
        <v>496</v>
      </c>
      <c r="L37" s="439" t="s">
        <v>497</v>
      </c>
      <c r="M37" s="439" t="s">
        <v>498</v>
      </c>
      <c r="N37" s="439" t="s">
        <v>499</v>
      </c>
      <c r="O37" s="439" t="s">
        <v>500</v>
      </c>
      <c r="P37" s="439" t="s">
        <v>501</v>
      </c>
      <c r="Q37" s="439" t="s">
        <v>502</v>
      </c>
      <c r="R37" s="439" t="s">
        <v>503</v>
      </c>
      <c r="S37" s="439" t="s">
        <v>504</v>
      </c>
      <c r="T37" s="439" t="s">
        <v>505</v>
      </c>
      <c r="U37" s="439" t="s">
        <v>506</v>
      </c>
      <c r="V37" s="439" t="s">
        <v>507</v>
      </c>
      <c r="W37" s="439" t="s">
        <v>574</v>
      </c>
    </row>
    <row r="38" spans="7:23" x14ac:dyDescent="0.25">
      <c r="G38" s="440" t="s">
        <v>575</v>
      </c>
      <c r="K38" s="440"/>
      <c r="L38" s="440">
        <f>+K31</f>
        <v>42546052.767767996</v>
      </c>
      <c r="M38" s="440">
        <f t="shared" ref="M38:V38" si="12">+L31</f>
        <v>59192119.705535069</v>
      </c>
      <c r="N38" s="440">
        <f t="shared" si="12"/>
        <v>62269053.401362717</v>
      </c>
      <c r="O38" s="440">
        <f t="shared" si="12"/>
        <v>81905252.123963401</v>
      </c>
      <c r="P38" s="440">
        <f t="shared" si="12"/>
        <v>237780625.6314002</v>
      </c>
      <c r="Q38" s="440">
        <f t="shared" si="12"/>
        <v>178133890.37894017</v>
      </c>
      <c r="R38" s="440">
        <f t="shared" si="12"/>
        <v>158490680.38295698</v>
      </c>
      <c r="S38" s="440">
        <f t="shared" si="12"/>
        <v>156316973.70655417</v>
      </c>
      <c r="T38" s="440">
        <f t="shared" si="12"/>
        <v>148088952.4795242</v>
      </c>
      <c r="U38" s="440">
        <f t="shared" si="12"/>
        <v>125769654.08332938</v>
      </c>
      <c r="V38" s="440">
        <f t="shared" si="12"/>
        <v>125769654.08332938</v>
      </c>
      <c r="W38" s="441">
        <f>SUM(K38:V38)</f>
        <v>1376262908.7446637</v>
      </c>
    </row>
    <row r="39" spans="7:23" x14ac:dyDescent="0.25">
      <c r="G39" s="440" t="s">
        <v>576</v>
      </c>
      <c r="K39" s="440"/>
      <c r="L39" s="440"/>
      <c r="M39" s="440">
        <f>+K32-L41</f>
        <v>-1120829972.2111804</v>
      </c>
      <c r="N39" s="440">
        <f t="shared" ref="N39:V39" si="13">+L32-M41</f>
        <v>482603714.1537419</v>
      </c>
      <c r="O39" s="440">
        <f t="shared" si="13"/>
        <v>766295598.68196785</v>
      </c>
      <c r="P39" s="440">
        <f t="shared" si="13"/>
        <v>1331501690.6062357</v>
      </c>
      <c r="Q39" s="440">
        <f t="shared" si="13"/>
        <v>753746747.33212829</v>
      </c>
      <c r="R39" s="440">
        <f t="shared" si="13"/>
        <v>715643487.88898456</v>
      </c>
      <c r="S39" s="440">
        <f t="shared" si="13"/>
        <v>724814574.03801084</v>
      </c>
      <c r="T39" s="440">
        <f t="shared" si="13"/>
        <v>589608365.67116308</v>
      </c>
      <c r="U39" s="440">
        <f t="shared" si="13"/>
        <v>574335151.62369061</v>
      </c>
      <c r="V39" s="440">
        <f t="shared" si="13"/>
        <v>481626127.44467211</v>
      </c>
      <c r="W39" s="441">
        <f t="shared" ref="W39:W42" si="14">SUM(K39:V39)</f>
        <v>5299345485.229414</v>
      </c>
    </row>
    <row r="40" spans="7:23" x14ac:dyDescent="0.25">
      <c r="G40" s="440" t="s">
        <v>579</v>
      </c>
      <c r="K40" s="440"/>
      <c r="L40" s="440">
        <f t="shared" ref="L40:U40" si="15">(13000000+59000000)*0.1</f>
        <v>7200000</v>
      </c>
      <c r="M40" s="440">
        <f t="shared" si="15"/>
        <v>7200000</v>
      </c>
      <c r="N40" s="440">
        <f t="shared" si="15"/>
        <v>7200000</v>
      </c>
      <c r="O40" s="440">
        <f t="shared" si="15"/>
        <v>7200000</v>
      </c>
      <c r="P40" s="440">
        <f t="shared" si="15"/>
        <v>7200000</v>
      </c>
      <c r="Q40" s="440">
        <f t="shared" si="15"/>
        <v>7200000</v>
      </c>
      <c r="R40" s="440">
        <f t="shared" si="15"/>
        <v>7200000</v>
      </c>
      <c r="S40" s="440">
        <f t="shared" si="15"/>
        <v>7200000</v>
      </c>
      <c r="T40" s="440">
        <f t="shared" si="15"/>
        <v>7200000</v>
      </c>
      <c r="U40" s="440">
        <f t="shared" si="15"/>
        <v>7200000</v>
      </c>
      <c r="V40" s="440"/>
      <c r="W40" s="441">
        <f t="shared" si="14"/>
        <v>72000000</v>
      </c>
    </row>
    <row r="41" spans="7:23" x14ac:dyDescent="0.25">
      <c r="G41" s="440" t="s">
        <v>580</v>
      </c>
      <c r="K41" s="440"/>
      <c r="L41" s="440">
        <f t="shared" ref="L41:V41" si="16">+W27</f>
        <v>1470959129.4947109</v>
      </c>
      <c r="M41" s="440">
        <f t="shared" si="16"/>
        <v>0</v>
      </c>
      <c r="N41" s="440">
        <f t="shared" si="16"/>
        <v>0</v>
      </c>
      <c r="O41" s="440">
        <f t="shared" si="16"/>
        <v>0</v>
      </c>
      <c r="P41" s="440">
        <f t="shared" si="16"/>
        <v>0</v>
      </c>
      <c r="Q41" s="440">
        <f t="shared" si="16"/>
        <v>0</v>
      </c>
      <c r="R41" s="440">
        <f t="shared" si="16"/>
        <v>0</v>
      </c>
      <c r="S41" s="440">
        <f t="shared" si="16"/>
        <v>0</v>
      </c>
      <c r="T41" s="440">
        <f t="shared" si="16"/>
        <v>0</v>
      </c>
      <c r="U41" s="440">
        <f t="shared" si="16"/>
        <v>0</v>
      </c>
      <c r="V41" s="440">
        <f t="shared" si="16"/>
        <v>0</v>
      </c>
      <c r="W41" s="441">
        <f t="shared" si="14"/>
        <v>1470959129.4947109</v>
      </c>
    </row>
    <row r="42" spans="7:23" x14ac:dyDescent="0.25">
      <c r="G42" s="440" t="s">
        <v>577</v>
      </c>
      <c r="K42" s="440"/>
      <c r="L42" s="440">
        <v>50000000</v>
      </c>
      <c r="M42" s="440">
        <f>+K33</f>
        <v>202202305.1632483</v>
      </c>
      <c r="N42" s="440">
        <f t="shared" ref="N42:V42" si="17">+L33</f>
        <v>281345908.58843476</v>
      </c>
      <c r="O42" s="440">
        <f t="shared" si="17"/>
        <v>424850201.1503132</v>
      </c>
      <c r="P42" s="440">
        <f t="shared" si="17"/>
        <v>525245394.36961931</v>
      </c>
      <c r="Q42" s="440">
        <f t="shared" si="17"/>
        <v>598064708.05778909</v>
      </c>
      <c r="R42" s="440">
        <f t="shared" si="17"/>
        <v>739465551.14385712</v>
      </c>
      <c r="S42" s="440">
        <f t="shared" si="17"/>
        <v>816059872.8770858</v>
      </c>
      <c r="T42" s="440">
        <f t="shared" si="17"/>
        <v>868926668.27104545</v>
      </c>
      <c r="U42" s="440">
        <f t="shared" si="17"/>
        <v>1810655426.1458251</v>
      </c>
      <c r="V42" s="440">
        <f t="shared" si="17"/>
        <v>718284005.39711595</v>
      </c>
      <c r="W42" s="441">
        <f t="shared" si="14"/>
        <v>7035100041.1643343</v>
      </c>
    </row>
    <row r="43" spans="7:23" x14ac:dyDescent="0.25">
      <c r="G43" s="439" t="s">
        <v>173</v>
      </c>
      <c r="K43" s="442">
        <f t="shared" ref="K43:V43" si="18">SUM(K38:K42)</f>
        <v>0</v>
      </c>
      <c r="L43" s="442">
        <f t="shared" si="18"/>
        <v>1570705182.2624788</v>
      </c>
      <c r="M43" s="442">
        <f t="shared" si="18"/>
        <v>-852235547.34239709</v>
      </c>
      <c r="N43" s="442">
        <f t="shared" si="18"/>
        <v>833418676.14353943</v>
      </c>
      <c r="O43" s="442">
        <f t="shared" si="18"/>
        <v>1280251051.9562445</v>
      </c>
      <c r="P43" s="442">
        <f t="shared" si="18"/>
        <v>2101727710.6072552</v>
      </c>
      <c r="Q43" s="442">
        <f t="shared" si="18"/>
        <v>1537145345.7688575</v>
      </c>
      <c r="R43" s="442">
        <f t="shared" si="18"/>
        <v>1620799719.4157987</v>
      </c>
      <c r="S43" s="442">
        <f t="shared" si="18"/>
        <v>1704391420.6216507</v>
      </c>
      <c r="T43" s="442">
        <f t="shared" si="18"/>
        <v>1613823986.4217327</v>
      </c>
      <c r="U43" s="442">
        <f t="shared" si="18"/>
        <v>2517960231.8528452</v>
      </c>
      <c r="V43" s="442">
        <f t="shared" si="18"/>
        <v>1325679786.9251175</v>
      </c>
      <c r="W43" s="442">
        <f>SUM(W38:W42)</f>
        <v>15253667564.633121</v>
      </c>
    </row>
  </sheetData>
  <mergeCells count="22">
    <mergeCell ref="E22:F27"/>
    <mergeCell ref="X4:X5"/>
    <mergeCell ref="K4:V4"/>
    <mergeCell ref="W4:W5"/>
    <mergeCell ref="B5:D5"/>
    <mergeCell ref="E5:F5"/>
    <mergeCell ref="H4:H5"/>
    <mergeCell ref="E18:G18"/>
    <mergeCell ref="A1:D1"/>
    <mergeCell ref="A2:D2"/>
    <mergeCell ref="D3:E3"/>
    <mergeCell ref="B4:D4"/>
    <mergeCell ref="E4:F4"/>
    <mergeCell ref="A6:A15"/>
    <mergeCell ref="B6:D14"/>
    <mergeCell ref="E6:F7"/>
    <mergeCell ref="E8:G8"/>
    <mergeCell ref="E12:F13"/>
    <mergeCell ref="E14:G14"/>
    <mergeCell ref="B15:G15"/>
    <mergeCell ref="E9:F10"/>
    <mergeCell ref="E11:G11"/>
  </mergeCells>
  <pageMargins left="0.25" right="0.25" top="0.75" bottom="0.75" header="0.3" footer="0.3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="85" zoomScaleNormal="85" workbookViewId="0">
      <selection activeCell="G14" sqref="G14"/>
    </sheetView>
  </sheetViews>
  <sheetFormatPr baseColWidth="10" defaultRowHeight="15" x14ac:dyDescent="0.25"/>
  <cols>
    <col min="3" max="3" width="98" bestFit="1" customWidth="1"/>
    <col min="4" max="4" width="73.28515625" bestFit="1" customWidth="1"/>
    <col min="6" max="6" width="16.28515625" bestFit="1" customWidth="1"/>
    <col min="7" max="7" width="15.140625" bestFit="1" customWidth="1"/>
  </cols>
  <sheetData>
    <row r="1" spans="1:12" ht="24" thickBot="1" x14ac:dyDescent="0.3">
      <c r="A1" s="532" t="s">
        <v>526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4"/>
    </row>
    <row r="2" spans="1:12" x14ac:dyDescent="0.25">
      <c r="A2" s="535" t="s">
        <v>527</v>
      </c>
      <c r="B2" s="537" t="s">
        <v>528</v>
      </c>
      <c r="C2" s="539" t="s">
        <v>529</v>
      </c>
      <c r="D2" s="539" t="s">
        <v>231</v>
      </c>
      <c r="E2" s="539" t="s">
        <v>530</v>
      </c>
      <c r="F2" s="541" t="s">
        <v>531</v>
      </c>
      <c r="G2" s="543" t="s">
        <v>532</v>
      </c>
      <c r="H2" s="545" t="s">
        <v>533</v>
      </c>
      <c r="I2" s="547" t="s">
        <v>534</v>
      </c>
      <c r="J2" s="548"/>
      <c r="K2" s="549"/>
      <c r="L2" s="530" t="s">
        <v>535</v>
      </c>
    </row>
    <row r="3" spans="1:12" ht="15.75" thickBot="1" x14ac:dyDescent="0.3">
      <c r="A3" s="536"/>
      <c r="B3" s="538"/>
      <c r="C3" s="540"/>
      <c r="D3" s="540"/>
      <c r="E3" s="540"/>
      <c r="F3" s="542"/>
      <c r="G3" s="544"/>
      <c r="H3" s="546"/>
      <c r="I3" s="401" t="s">
        <v>536</v>
      </c>
      <c r="J3" s="402" t="s">
        <v>537</v>
      </c>
      <c r="K3" s="403" t="s">
        <v>538</v>
      </c>
      <c r="L3" s="531"/>
    </row>
    <row r="4" spans="1:12" x14ac:dyDescent="0.25">
      <c r="A4" s="404" t="s">
        <v>213</v>
      </c>
      <c r="B4" s="405" t="s">
        <v>539</v>
      </c>
      <c r="C4" s="406" t="s">
        <v>540</v>
      </c>
      <c r="D4" s="407"/>
      <c r="E4" s="406"/>
      <c r="F4" s="408">
        <v>704000000</v>
      </c>
      <c r="G4" s="408">
        <v>504000000</v>
      </c>
      <c r="H4" s="409">
        <v>0</v>
      </c>
      <c r="I4" s="410"/>
      <c r="J4" s="411"/>
      <c r="K4" s="409"/>
      <c r="L4" s="412"/>
    </row>
    <row r="5" spans="1:12" x14ac:dyDescent="0.25">
      <c r="A5" s="413" t="s">
        <v>213</v>
      </c>
      <c r="B5" s="405" t="s">
        <v>539</v>
      </c>
      <c r="C5" s="414" t="s">
        <v>541</v>
      </c>
      <c r="D5" s="415"/>
      <c r="E5" s="414"/>
      <c r="F5" s="416">
        <v>217000000</v>
      </c>
      <c r="G5" s="416">
        <v>170000000</v>
      </c>
      <c r="H5" s="409">
        <v>0</v>
      </c>
      <c r="I5" s="410"/>
      <c r="J5" s="411"/>
      <c r="K5" s="409"/>
      <c r="L5" s="412"/>
    </row>
    <row r="6" spans="1:12" x14ac:dyDescent="0.25">
      <c r="A6" s="413" t="s">
        <v>213</v>
      </c>
      <c r="B6" s="405" t="s">
        <v>539</v>
      </c>
      <c r="C6" s="414" t="s">
        <v>542</v>
      </c>
      <c r="D6" s="415"/>
      <c r="E6" s="414"/>
      <c r="F6" s="416">
        <v>76000000</v>
      </c>
      <c r="G6" s="416">
        <v>76000000</v>
      </c>
      <c r="H6" s="409">
        <v>0</v>
      </c>
      <c r="I6" s="410"/>
      <c r="J6" s="411"/>
      <c r="K6" s="409"/>
      <c r="L6" s="412"/>
    </row>
    <row r="7" spans="1:12" x14ac:dyDescent="0.25">
      <c r="A7" s="413" t="s">
        <v>213</v>
      </c>
      <c r="B7" s="405" t="s">
        <v>543</v>
      </c>
      <c r="C7" s="414" t="s">
        <v>544</v>
      </c>
      <c r="D7" s="415" t="s">
        <v>545</v>
      </c>
      <c r="E7" s="414"/>
      <c r="F7" s="416">
        <v>687000000</v>
      </c>
      <c r="G7" s="416">
        <v>0</v>
      </c>
      <c r="H7" s="409">
        <v>0</v>
      </c>
      <c r="I7" s="410"/>
      <c r="J7" s="411"/>
      <c r="K7" s="409"/>
      <c r="L7" s="412"/>
    </row>
    <row r="8" spans="1:12" x14ac:dyDescent="0.25">
      <c r="A8" s="413" t="s">
        <v>213</v>
      </c>
      <c r="B8" s="405" t="s">
        <v>543</v>
      </c>
      <c r="C8" s="414" t="s">
        <v>546</v>
      </c>
      <c r="D8" s="415" t="s">
        <v>547</v>
      </c>
      <c r="E8" s="414"/>
      <c r="F8" s="416">
        <v>442000000</v>
      </c>
      <c r="G8" s="416">
        <v>172000000</v>
      </c>
      <c r="H8" s="409">
        <v>0</v>
      </c>
      <c r="I8" s="410"/>
      <c r="J8" s="411"/>
      <c r="K8" s="409"/>
      <c r="L8" s="412"/>
    </row>
    <row r="9" spans="1:12" x14ac:dyDescent="0.25">
      <c r="A9" s="413" t="s">
        <v>213</v>
      </c>
      <c r="B9" s="405" t="s">
        <v>543</v>
      </c>
      <c r="C9" s="414" t="s">
        <v>548</v>
      </c>
      <c r="D9" s="415" t="s">
        <v>549</v>
      </c>
      <c r="E9" s="414"/>
      <c r="F9" s="416">
        <v>532000000</v>
      </c>
      <c r="G9" s="416">
        <v>286000000</v>
      </c>
      <c r="H9" s="409">
        <v>0</v>
      </c>
      <c r="I9" s="410"/>
      <c r="J9" s="411"/>
      <c r="K9" s="409"/>
      <c r="L9" s="412"/>
    </row>
    <row r="10" spans="1:12" x14ac:dyDescent="0.25">
      <c r="A10" s="413" t="s">
        <v>213</v>
      </c>
      <c r="B10" s="405" t="s">
        <v>543</v>
      </c>
      <c r="C10" s="414" t="s">
        <v>550</v>
      </c>
      <c r="D10" s="415" t="s">
        <v>551</v>
      </c>
      <c r="E10" s="414"/>
      <c r="F10" s="416">
        <v>319000000</v>
      </c>
      <c r="G10" s="416">
        <v>124000000</v>
      </c>
      <c r="H10" s="409">
        <v>0</v>
      </c>
      <c r="I10" s="410"/>
      <c r="J10" s="411"/>
      <c r="K10" s="409"/>
      <c r="L10" s="412"/>
    </row>
    <row r="11" spans="1:12" x14ac:dyDescent="0.25">
      <c r="A11" s="413" t="s">
        <v>213</v>
      </c>
      <c r="B11" s="405" t="s">
        <v>543</v>
      </c>
      <c r="C11" s="414" t="s">
        <v>552</v>
      </c>
      <c r="D11" s="415" t="s">
        <v>553</v>
      </c>
      <c r="E11" s="414"/>
      <c r="F11" s="416">
        <v>595000000</v>
      </c>
      <c r="G11" s="416">
        <v>171000000</v>
      </c>
      <c r="H11" s="409">
        <v>0</v>
      </c>
      <c r="I11" s="410"/>
      <c r="J11" s="411"/>
      <c r="K11" s="409"/>
      <c r="L11" s="412"/>
    </row>
    <row r="12" spans="1:12" x14ac:dyDescent="0.25">
      <c r="A12" s="413" t="s">
        <v>213</v>
      </c>
      <c r="B12" s="405" t="s">
        <v>539</v>
      </c>
      <c r="C12" s="414" t="s">
        <v>554</v>
      </c>
      <c r="D12" s="415" t="s">
        <v>555</v>
      </c>
      <c r="E12" s="414"/>
      <c r="F12" s="416">
        <v>437000000</v>
      </c>
      <c r="G12" s="416">
        <v>113000000</v>
      </c>
      <c r="H12" s="409">
        <v>0</v>
      </c>
      <c r="I12" s="410"/>
      <c r="J12" s="411"/>
      <c r="K12" s="409"/>
      <c r="L12" s="412"/>
    </row>
    <row r="13" spans="1:12" x14ac:dyDescent="0.25">
      <c r="A13" s="413" t="s">
        <v>213</v>
      </c>
      <c r="B13" s="405" t="s">
        <v>539</v>
      </c>
      <c r="C13" s="414" t="s">
        <v>556</v>
      </c>
      <c r="D13" s="415" t="s">
        <v>555</v>
      </c>
      <c r="E13" s="414"/>
      <c r="F13" s="416">
        <v>314000000</v>
      </c>
      <c r="G13" s="416">
        <v>34000000</v>
      </c>
      <c r="H13" s="409">
        <v>0</v>
      </c>
      <c r="I13" s="410"/>
      <c r="J13" s="411"/>
      <c r="K13" s="409"/>
      <c r="L13" s="412"/>
    </row>
    <row r="14" spans="1:12" x14ac:dyDescent="0.25">
      <c r="A14" s="413" t="s">
        <v>213</v>
      </c>
      <c r="B14" s="405" t="s">
        <v>539</v>
      </c>
      <c r="C14" s="414" t="s">
        <v>557</v>
      </c>
      <c r="D14" s="415" t="s">
        <v>558</v>
      </c>
      <c r="E14" s="414"/>
      <c r="F14" s="416">
        <v>1232000000</v>
      </c>
      <c r="G14" s="416">
        <v>924000000</v>
      </c>
      <c r="H14" s="409">
        <v>0</v>
      </c>
      <c r="I14" s="410"/>
      <c r="J14" s="411"/>
      <c r="K14" s="409"/>
      <c r="L14" s="412"/>
    </row>
    <row r="15" spans="1:12" x14ac:dyDescent="0.25">
      <c r="A15" s="413" t="s">
        <v>213</v>
      </c>
      <c r="B15" s="405" t="s">
        <v>543</v>
      </c>
      <c r="C15" s="414" t="s">
        <v>559</v>
      </c>
      <c r="D15" s="415" t="s">
        <v>560</v>
      </c>
      <c r="E15" s="414"/>
      <c r="F15" s="416">
        <v>1337000000</v>
      </c>
      <c r="G15" s="416">
        <v>0</v>
      </c>
      <c r="H15" s="409">
        <v>0</v>
      </c>
      <c r="I15" s="410"/>
      <c r="J15" s="411"/>
      <c r="K15" s="409"/>
      <c r="L15" s="412"/>
    </row>
    <row r="16" spans="1:12" x14ac:dyDescent="0.25">
      <c r="A16" s="413" t="s">
        <v>213</v>
      </c>
      <c r="B16" s="405" t="s">
        <v>543</v>
      </c>
      <c r="C16" s="414" t="s">
        <v>559</v>
      </c>
      <c r="D16" s="415" t="s">
        <v>561</v>
      </c>
      <c r="E16" s="414"/>
      <c r="F16" s="416">
        <v>354000000</v>
      </c>
      <c r="G16" s="416">
        <v>152000000</v>
      </c>
      <c r="H16" s="409">
        <v>0</v>
      </c>
      <c r="I16" s="410"/>
      <c r="J16" s="411"/>
      <c r="K16" s="409"/>
      <c r="L16" s="412"/>
    </row>
    <row r="17" spans="1:12" x14ac:dyDescent="0.25">
      <c r="A17" s="413" t="s">
        <v>213</v>
      </c>
      <c r="B17" s="405" t="s">
        <v>543</v>
      </c>
      <c r="C17" s="414" t="s">
        <v>559</v>
      </c>
      <c r="D17" s="415" t="s">
        <v>562</v>
      </c>
      <c r="E17" s="414"/>
      <c r="F17" s="416">
        <v>384000000</v>
      </c>
      <c r="G17" s="416">
        <v>0</v>
      </c>
      <c r="H17" s="409">
        <v>0</v>
      </c>
      <c r="I17" s="410"/>
      <c r="J17" s="411"/>
      <c r="K17" s="409"/>
      <c r="L17" s="412"/>
    </row>
    <row r="18" spans="1:12" x14ac:dyDescent="0.25">
      <c r="A18" s="413" t="s">
        <v>213</v>
      </c>
      <c r="B18" s="405" t="s">
        <v>543</v>
      </c>
      <c r="C18" s="414" t="s">
        <v>563</v>
      </c>
      <c r="D18" s="415" t="s">
        <v>564</v>
      </c>
      <c r="E18" s="414"/>
      <c r="F18" s="416">
        <v>251000000</v>
      </c>
      <c r="G18" s="416">
        <v>53000000</v>
      </c>
      <c r="H18" s="409">
        <v>0</v>
      </c>
      <c r="I18" s="410"/>
      <c r="J18" s="411"/>
      <c r="K18" s="409"/>
      <c r="L18" s="412"/>
    </row>
    <row r="19" spans="1:12" x14ac:dyDescent="0.25">
      <c r="A19" s="413" t="s">
        <v>213</v>
      </c>
      <c r="B19" s="405" t="s">
        <v>543</v>
      </c>
      <c r="C19" s="414" t="s">
        <v>565</v>
      </c>
      <c r="D19" s="415"/>
      <c r="E19" s="414"/>
      <c r="F19" s="416">
        <v>60000000</v>
      </c>
      <c r="G19" s="416">
        <v>0</v>
      </c>
      <c r="H19" s="409">
        <v>0</v>
      </c>
      <c r="I19" s="410"/>
      <c r="J19" s="411"/>
      <c r="K19" s="409"/>
      <c r="L19" s="412"/>
    </row>
    <row r="20" spans="1:12" x14ac:dyDescent="0.25">
      <c r="A20" s="413" t="s">
        <v>213</v>
      </c>
      <c r="B20" s="405" t="s">
        <v>543</v>
      </c>
      <c r="C20" s="414" t="s">
        <v>566</v>
      </c>
      <c r="D20" s="415"/>
      <c r="E20" s="414"/>
      <c r="F20" s="416">
        <v>41000000</v>
      </c>
      <c r="G20" s="416">
        <v>0</v>
      </c>
      <c r="H20" s="409">
        <v>0</v>
      </c>
      <c r="I20" s="410"/>
      <c r="J20" s="411"/>
      <c r="K20" s="409"/>
      <c r="L20" s="412"/>
    </row>
    <row r="21" spans="1:12" ht="15.75" thickBot="1" x14ac:dyDescent="0.3">
      <c r="A21" s="417" t="s">
        <v>213</v>
      </c>
      <c r="B21" s="405" t="s">
        <v>539</v>
      </c>
      <c r="C21" s="418" t="s">
        <v>567</v>
      </c>
      <c r="D21" s="419"/>
      <c r="E21" s="418"/>
      <c r="F21" s="420">
        <v>901000000</v>
      </c>
      <c r="G21" s="420">
        <v>727000000</v>
      </c>
      <c r="H21" s="409">
        <v>0</v>
      </c>
      <c r="I21" s="410"/>
      <c r="J21" s="411"/>
      <c r="K21" s="409"/>
      <c r="L21" s="412"/>
    </row>
    <row r="22" spans="1:12" ht="15.75" thickBot="1" x14ac:dyDescent="0.3">
      <c r="A22" s="421"/>
      <c r="B22" s="422"/>
      <c r="C22" s="422"/>
      <c r="D22" s="422"/>
      <c r="E22" s="422"/>
      <c r="F22" s="423">
        <f t="shared" ref="F22:K22" si="0">+SUM(F4:F21)</f>
        <v>8883000000</v>
      </c>
      <c r="G22" s="423">
        <f t="shared" si="0"/>
        <v>3506000000</v>
      </c>
      <c r="H22" s="424">
        <f t="shared" si="0"/>
        <v>0</v>
      </c>
      <c r="I22" s="425">
        <f t="shared" si="0"/>
        <v>0</v>
      </c>
      <c r="J22" s="425">
        <f t="shared" si="0"/>
        <v>0</v>
      </c>
      <c r="K22" s="424">
        <f t="shared" si="0"/>
        <v>0</v>
      </c>
      <c r="L22" s="426"/>
    </row>
  </sheetData>
  <mergeCells count="11"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pageMargins left="0.7" right="0.7" top="0.75" bottom="0.75" header="0.3" footer="0.3"/>
  <pageSetup paperSize="9" scale="4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D133"/>
  <sheetViews>
    <sheetView showGridLines="0" tabSelected="1" topLeftCell="A49" zoomScale="83" zoomScaleNormal="83" zoomScaleSheetLayoutView="89" workbookViewId="0">
      <selection activeCell="R14" sqref="R14"/>
    </sheetView>
  </sheetViews>
  <sheetFormatPr baseColWidth="10" defaultRowHeight="15" outlineLevelCol="1" x14ac:dyDescent="0.25"/>
  <cols>
    <col min="1" max="1" width="1.28515625" customWidth="1"/>
    <col min="2" max="2" width="3" customWidth="1"/>
    <col min="5" max="5" width="44.140625" customWidth="1"/>
    <col min="6" max="6" width="12.140625" hidden="1" customWidth="1"/>
    <col min="7" max="7" width="11.42578125" hidden="1" customWidth="1"/>
    <col min="8" max="8" width="19.5703125" bestFit="1" customWidth="1"/>
    <col min="9" max="18" width="14.42578125" customWidth="1" outlineLevel="1"/>
    <col min="19" max="21" width="14.42578125" customWidth="1"/>
    <col min="22" max="22" width="21" style="364" customWidth="1"/>
    <col min="23" max="23" width="20.85546875" style="364" customWidth="1"/>
    <col min="24" max="24" width="18.5703125" style="335" bestFit="1" customWidth="1"/>
    <col min="25" max="25" width="5.28515625" customWidth="1"/>
    <col min="30" max="30" width="14.42578125" hidden="1" customWidth="1"/>
  </cols>
  <sheetData>
    <row r="1" spans="1:30" ht="18.75" x14ac:dyDescent="0.3">
      <c r="A1" s="173" t="s">
        <v>333</v>
      </c>
      <c r="B1" s="175"/>
      <c r="C1" s="454"/>
      <c r="D1" s="454"/>
      <c r="E1" s="454"/>
      <c r="F1" s="177"/>
      <c r="G1" s="177"/>
      <c r="H1" s="239"/>
      <c r="I1" s="240" t="s">
        <v>289</v>
      </c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349"/>
      <c r="W1" s="350"/>
      <c r="X1" s="178"/>
      <c r="Y1" s="179"/>
      <c r="Z1" s="241"/>
      <c r="AA1" s="174"/>
      <c r="AB1" s="174"/>
      <c r="AC1" s="174"/>
      <c r="AD1" s="328" t="s">
        <v>460</v>
      </c>
    </row>
    <row r="2" spans="1:30" ht="16.5" x14ac:dyDescent="0.3">
      <c r="A2" s="180"/>
      <c r="B2" s="181"/>
      <c r="C2" s="550"/>
      <c r="D2" s="550"/>
      <c r="E2" s="455"/>
      <c r="F2" s="242">
        <v>5</v>
      </c>
      <c r="G2" s="183"/>
      <c r="H2" s="243"/>
      <c r="I2" s="244">
        <v>1</v>
      </c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353"/>
      <c r="W2" s="354"/>
      <c r="X2" s="327" t="s">
        <v>459</v>
      </c>
      <c r="Y2" s="245"/>
      <c r="Z2" s="246"/>
      <c r="AA2" s="188"/>
      <c r="AB2" s="188"/>
      <c r="AC2" s="188"/>
      <c r="AD2" t="s">
        <v>163</v>
      </c>
    </row>
    <row r="3" spans="1:30" ht="16.5" x14ac:dyDescent="0.3">
      <c r="A3" s="180"/>
      <c r="B3" s="181"/>
      <c r="C3" s="551"/>
      <c r="D3" s="551"/>
      <c r="E3" s="456"/>
      <c r="F3" s="183"/>
      <c r="G3" s="183"/>
      <c r="H3" s="243"/>
      <c r="I3" s="186"/>
      <c r="J3" s="497"/>
      <c r="K3" s="498"/>
      <c r="L3" s="499"/>
      <c r="M3" s="500"/>
      <c r="N3" s="501"/>
      <c r="O3" s="502"/>
      <c r="P3" s="503"/>
      <c r="Q3" s="504"/>
      <c r="R3" s="496"/>
      <c r="S3" s="493"/>
      <c r="T3" s="494"/>
      <c r="U3" s="495"/>
      <c r="V3" s="353"/>
      <c r="W3" s="354"/>
      <c r="X3" s="329"/>
      <c r="Y3" s="248"/>
      <c r="Z3" s="249"/>
      <c r="AA3" s="188"/>
      <c r="AB3" s="188"/>
      <c r="AC3" s="188"/>
      <c r="AD3" t="s">
        <v>163</v>
      </c>
    </row>
    <row r="4" spans="1:30" ht="16.5" customHeight="1" x14ac:dyDescent="0.3">
      <c r="A4" s="180"/>
      <c r="B4" s="181"/>
      <c r="C4" s="453"/>
      <c r="D4" s="453"/>
      <c r="E4" s="456"/>
      <c r="F4" s="183"/>
      <c r="G4" s="183"/>
      <c r="H4" s="243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493"/>
      <c r="T4" s="494"/>
      <c r="U4" s="495"/>
      <c r="V4" s="353"/>
      <c r="W4" s="354"/>
      <c r="X4" s="329"/>
      <c r="Y4" s="248"/>
      <c r="Z4" s="249"/>
      <c r="AA4" s="188"/>
      <c r="AB4" s="188"/>
      <c r="AC4" s="188"/>
      <c r="AD4" t="s">
        <v>163</v>
      </c>
    </row>
    <row r="5" spans="1:30" ht="16.5" hidden="1" x14ac:dyDescent="0.3">
      <c r="A5" s="180"/>
      <c r="B5" s="181"/>
      <c r="C5" s="184"/>
      <c r="D5" s="186"/>
      <c r="E5" s="190"/>
      <c r="F5" s="183"/>
      <c r="G5" s="183"/>
      <c r="H5" s="243"/>
      <c r="I5" s="186"/>
      <c r="J5" s="497"/>
      <c r="K5" s="498"/>
      <c r="L5" s="499"/>
      <c r="M5" s="500"/>
      <c r="N5" s="501"/>
      <c r="O5" s="502"/>
      <c r="P5" s="503"/>
      <c r="Q5" s="504"/>
      <c r="R5" s="496"/>
      <c r="S5" s="493"/>
      <c r="T5" s="494"/>
      <c r="U5" s="495"/>
      <c r="V5" s="353"/>
      <c r="W5" s="353"/>
      <c r="X5" s="185"/>
      <c r="Y5" s="248"/>
      <c r="Z5" s="249"/>
      <c r="AA5" s="188"/>
      <c r="AB5" s="188"/>
      <c r="AC5" s="188"/>
      <c r="AD5" t="s">
        <v>163</v>
      </c>
    </row>
    <row r="6" spans="1:30" ht="16.5" hidden="1" x14ac:dyDescent="0.3">
      <c r="A6" s="180"/>
      <c r="B6" s="181"/>
      <c r="C6" s="184"/>
      <c r="D6" s="184"/>
      <c r="E6" s="184"/>
      <c r="F6" s="191" t="s">
        <v>305</v>
      </c>
      <c r="G6" s="191"/>
      <c r="H6" s="250"/>
      <c r="I6" s="459" t="s">
        <v>130</v>
      </c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  <c r="U6" s="459"/>
      <c r="V6" s="460" t="s">
        <v>344</v>
      </c>
      <c r="W6" s="460"/>
      <c r="X6" s="330"/>
      <c r="Y6" s="252"/>
      <c r="Z6" s="194"/>
      <c r="AA6" s="188"/>
      <c r="AB6" s="188"/>
      <c r="AC6" s="188"/>
      <c r="AD6" t="s">
        <v>163</v>
      </c>
    </row>
    <row r="7" spans="1:30" ht="68.25" customHeight="1" x14ac:dyDescent="0.3">
      <c r="A7" s="180"/>
      <c r="B7" s="181"/>
      <c r="C7" s="184"/>
      <c r="D7" s="184"/>
      <c r="E7" s="184"/>
      <c r="F7" s="191"/>
      <c r="G7" s="191"/>
      <c r="H7" s="458" t="s">
        <v>589</v>
      </c>
      <c r="I7" s="461" t="s">
        <v>584</v>
      </c>
      <c r="J7" s="461" t="s">
        <v>593</v>
      </c>
      <c r="K7" s="461" t="s">
        <v>594</v>
      </c>
      <c r="L7" s="461" t="s">
        <v>595</v>
      </c>
      <c r="M7" s="461" t="s">
        <v>596</v>
      </c>
      <c r="N7" s="461" t="s">
        <v>597</v>
      </c>
      <c r="O7" s="461" t="s">
        <v>598</v>
      </c>
      <c r="P7" s="461" t="s">
        <v>599</v>
      </c>
      <c r="Q7" s="461" t="s">
        <v>600</v>
      </c>
      <c r="R7" s="492" t="s">
        <v>601</v>
      </c>
      <c r="S7" s="461" t="s">
        <v>590</v>
      </c>
      <c r="T7" s="461" t="s">
        <v>591</v>
      </c>
      <c r="U7" s="461" t="s">
        <v>592</v>
      </c>
      <c r="V7" s="462" t="s">
        <v>587</v>
      </c>
      <c r="W7" s="458" t="s">
        <v>586</v>
      </c>
      <c r="X7" s="458" t="s">
        <v>348</v>
      </c>
      <c r="Y7" s="193"/>
      <c r="Z7" s="194"/>
      <c r="AA7" s="195" t="s">
        <v>349</v>
      </c>
      <c r="AB7" s="188"/>
      <c r="AC7" s="188"/>
      <c r="AD7" t="s">
        <v>163</v>
      </c>
    </row>
    <row r="8" spans="1:30" ht="16.5" x14ac:dyDescent="0.3">
      <c r="A8" s="180"/>
      <c r="B8" s="181"/>
      <c r="C8" s="8" t="s">
        <v>161</v>
      </c>
      <c r="D8" s="198"/>
      <c r="E8" s="198"/>
      <c r="F8" s="198"/>
      <c r="G8" s="199"/>
      <c r="H8" s="200">
        <v>0</v>
      </c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66"/>
      <c r="W8" s="366"/>
      <c r="X8" s="256"/>
      <c r="Y8" s="193"/>
      <c r="Z8" s="194"/>
      <c r="AA8" s="188"/>
      <c r="AB8" s="188"/>
      <c r="AC8" s="188"/>
      <c r="AD8" t="s">
        <v>163</v>
      </c>
    </row>
    <row r="9" spans="1:30" ht="16.5" x14ac:dyDescent="0.3">
      <c r="A9" s="196"/>
      <c r="B9" s="197"/>
      <c r="C9" s="269"/>
      <c r="D9" s="198"/>
      <c r="E9" s="198"/>
      <c r="F9" s="198"/>
      <c r="G9" s="199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66"/>
      <c r="W9" s="366"/>
      <c r="X9" s="256"/>
      <c r="Y9" s="201"/>
      <c r="Z9" s="219"/>
      <c r="AA9" s="202"/>
      <c r="AB9" s="202"/>
      <c r="AC9" s="202"/>
      <c r="AD9" t="s">
        <v>163</v>
      </c>
    </row>
    <row r="10" spans="1:30" ht="16.5" x14ac:dyDescent="0.3">
      <c r="A10" s="196"/>
      <c r="B10" s="197"/>
      <c r="C10" s="198"/>
      <c r="D10" s="198" t="s">
        <v>165</v>
      </c>
      <c r="E10" s="198"/>
      <c r="F10" s="198"/>
      <c r="G10" s="199" t="s">
        <v>164</v>
      </c>
      <c r="H10" s="200"/>
      <c r="I10" s="200"/>
      <c r="J10" s="485"/>
      <c r="K10" s="485"/>
      <c r="L10" s="485"/>
      <c r="M10" s="485"/>
      <c r="N10" s="485"/>
      <c r="O10" s="485"/>
      <c r="P10" s="485"/>
      <c r="Q10" s="485"/>
      <c r="R10" s="200"/>
      <c r="S10" s="485"/>
      <c r="T10" s="485"/>
      <c r="U10" s="485"/>
      <c r="V10" s="367"/>
      <c r="W10" s="368"/>
      <c r="X10" s="255"/>
      <c r="Y10" s="187"/>
      <c r="Z10" s="254"/>
      <c r="AA10" s="202"/>
      <c r="AB10" s="202"/>
      <c r="AC10" s="202"/>
      <c r="AD10" t="s">
        <v>163</v>
      </c>
    </row>
    <row r="11" spans="1:30" ht="16.5" x14ac:dyDescent="0.3">
      <c r="A11" s="196"/>
      <c r="B11" s="197"/>
      <c r="C11" s="198"/>
      <c r="D11" s="198" t="s">
        <v>167</v>
      </c>
      <c r="E11" s="198"/>
      <c r="F11" s="198"/>
      <c r="G11" s="199">
        <v>12</v>
      </c>
      <c r="H11" s="343"/>
      <c r="I11" s="200"/>
      <c r="J11" s="485"/>
      <c r="K11" s="485"/>
      <c r="L11" s="485"/>
      <c r="M11" s="485"/>
      <c r="N11" s="485"/>
      <c r="O11" s="485"/>
      <c r="P11" s="485"/>
      <c r="Q11" s="485"/>
      <c r="R11" s="200"/>
      <c r="S11" s="485"/>
      <c r="T11" s="485"/>
      <c r="U11" s="485"/>
      <c r="V11" s="367"/>
      <c r="W11" s="368"/>
      <c r="X11" s="255"/>
      <c r="Y11" s="187"/>
      <c r="Z11" s="254"/>
      <c r="AA11" s="202"/>
      <c r="AB11" s="202"/>
      <c r="AC11" s="202"/>
      <c r="AD11" t="s">
        <v>163</v>
      </c>
    </row>
    <row r="12" spans="1:30" ht="16.5" x14ac:dyDescent="0.3">
      <c r="A12" s="196"/>
      <c r="B12" s="197"/>
      <c r="C12" s="198"/>
      <c r="D12" s="198" t="s">
        <v>168</v>
      </c>
      <c r="E12" s="198"/>
      <c r="F12" s="198"/>
      <c r="G12" s="199">
        <v>11</v>
      </c>
      <c r="H12" s="343"/>
      <c r="I12" s="200"/>
      <c r="J12" s="485"/>
      <c r="K12" s="485"/>
      <c r="L12" s="485"/>
      <c r="M12" s="485"/>
      <c r="N12" s="485"/>
      <c r="O12" s="485"/>
      <c r="P12" s="485"/>
      <c r="Q12" s="485"/>
      <c r="R12" s="200"/>
      <c r="S12" s="485"/>
      <c r="T12" s="485"/>
      <c r="U12" s="485"/>
      <c r="V12" s="367"/>
      <c r="W12" s="368"/>
      <c r="X12" s="255" t="s">
        <v>488</v>
      </c>
      <c r="Y12" s="187"/>
      <c r="Z12" s="254"/>
      <c r="AA12" s="202"/>
      <c r="AB12" s="202"/>
      <c r="AC12" s="202"/>
      <c r="AD12" t="s">
        <v>163</v>
      </c>
    </row>
    <row r="13" spans="1:30" ht="16.5" x14ac:dyDescent="0.3">
      <c r="A13" s="205"/>
      <c r="B13" s="206"/>
      <c r="C13" s="207"/>
      <c r="D13" s="198" t="s">
        <v>170</v>
      </c>
      <c r="E13" s="198"/>
      <c r="F13" s="198"/>
      <c r="G13" s="199" t="s">
        <v>169</v>
      </c>
      <c r="H13" s="343"/>
      <c r="I13" s="200"/>
      <c r="J13" s="485"/>
      <c r="K13" s="485"/>
      <c r="L13" s="485"/>
      <c r="M13" s="485"/>
      <c r="N13" s="485"/>
      <c r="O13" s="485"/>
      <c r="P13" s="485"/>
      <c r="Q13" s="485"/>
      <c r="R13" s="200">
        <f>+R18+R19+R30</f>
        <v>273941092.79000002</v>
      </c>
      <c r="S13" s="485"/>
      <c r="T13" s="485"/>
      <c r="U13" s="485"/>
      <c r="V13" s="367"/>
      <c r="W13" s="368"/>
      <c r="X13" s="255" t="s">
        <v>488</v>
      </c>
      <c r="Y13" s="187"/>
      <c r="Z13" s="254"/>
      <c r="AA13" s="210"/>
      <c r="AB13" s="210"/>
      <c r="AC13" s="210"/>
      <c r="AD13" t="s">
        <v>163</v>
      </c>
    </row>
    <row r="14" spans="1:30" ht="16.5" x14ac:dyDescent="0.3">
      <c r="A14" s="196"/>
      <c r="B14" s="197"/>
      <c r="C14" s="198"/>
      <c r="D14" s="198" t="s">
        <v>171</v>
      </c>
      <c r="E14" s="198"/>
      <c r="F14" s="198"/>
      <c r="G14" s="199" t="s">
        <v>307</v>
      </c>
      <c r="H14" s="343">
        <v>0</v>
      </c>
      <c r="I14" s="200">
        <v>0</v>
      </c>
      <c r="J14" s="485"/>
      <c r="K14" s="485"/>
      <c r="L14" s="485"/>
      <c r="M14" s="485"/>
      <c r="N14" s="485"/>
      <c r="O14" s="485"/>
      <c r="P14" s="485"/>
      <c r="Q14" s="485"/>
      <c r="R14" s="200"/>
      <c r="S14" s="485"/>
      <c r="T14" s="485"/>
      <c r="U14" s="485"/>
      <c r="V14" s="367"/>
      <c r="W14" s="368"/>
      <c r="X14" s="255" t="s">
        <v>488</v>
      </c>
      <c r="Y14" s="187"/>
      <c r="Z14" s="254"/>
      <c r="AA14" s="202"/>
      <c r="AB14" s="202"/>
      <c r="AC14" s="202"/>
      <c r="AD14" t="s">
        <v>163</v>
      </c>
    </row>
    <row r="15" spans="1:30" ht="16.5" x14ac:dyDescent="0.3">
      <c r="A15" s="196"/>
      <c r="B15" s="197"/>
      <c r="C15" s="207" t="s">
        <v>308</v>
      </c>
      <c r="D15" s="207"/>
      <c r="E15" s="207"/>
      <c r="F15" s="207"/>
      <c r="G15" s="199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69"/>
      <c r="W15" s="370"/>
      <c r="X15" s="337"/>
      <c r="Y15" s="187"/>
      <c r="Z15" s="254"/>
      <c r="AA15" s="202"/>
      <c r="AB15" s="202"/>
      <c r="AC15" s="202"/>
      <c r="AD15" t="s">
        <v>163</v>
      </c>
    </row>
    <row r="16" spans="1:30" ht="16.5" x14ac:dyDescent="0.3">
      <c r="A16" s="196"/>
      <c r="B16" s="197"/>
      <c r="C16" s="198"/>
      <c r="D16" s="198"/>
      <c r="E16" s="198"/>
      <c r="F16" s="198"/>
      <c r="G16" s="199"/>
      <c r="H16" s="344"/>
      <c r="I16" s="344"/>
      <c r="J16" s="344"/>
      <c r="K16" s="344"/>
      <c r="L16" s="344"/>
      <c r="M16" s="344"/>
      <c r="N16" s="344"/>
      <c r="O16" s="344"/>
      <c r="P16" s="344"/>
      <c r="Q16" s="344"/>
      <c r="R16" s="344"/>
      <c r="S16" s="344"/>
      <c r="T16" s="344"/>
      <c r="U16" s="344"/>
      <c r="V16" s="366"/>
      <c r="W16" s="366"/>
      <c r="X16" s="256"/>
      <c r="Y16" s="187"/>
      <c r="Z16" s="254"/>
      <c r="AA16" s="202"/>
      <c r="AB16" s="202"/>
      <c r="AC16" s="202"/>
      <c r="AD16" t="s">
        <v>163</v>
      </c>
    </row>
    <row r="17" spans="1:30" ht="16.5" x14ac:dyDescent="0.3">
      <c r="A17" s="196"/>
      <c r="B17" s="197"/>
      <c r="C17" s="207" t="s">
        <v>189</v>
      </c>
      <c r="D17" s="198"/>
      <c r="E17" s="198"/>
      <c r="F17" s="198"/>
      <c r="G17" s="199"/>
      <c r="H17" s="344"/>
      <c r="I17" s="344"/>
      <c r="J17" s="344"/>
      <c r="K17" s="344"/>
      <c r="L17" s="344"/>
      <c r="M17" s="344"/>
      <c r="N17" s="344"/>
      <c r="O17" s="344"/>
      <c r="P17" s="344"/>
      <c r="Q17" s="344"/>
      <c r="R17" s="437"/>
      <c r="S17" s="437"/>
      <c r="T17" s="437"/>
      <c r="U17" s="437"/>
      <c r="V17" s="476"/>
      <c r="W17" s="366"/>
      <c r="X17" s="256"/>
      <c r="Y17" s="187"/>
      <c r="Z17" s="254"/>
      <c r="AA17" s="202"/>
      <c r="AB17" s="202"/>
      <c r="AC17" s="202"/>
      <c r="AD17" t="s">
        <v>163</v>
      </c>
    </row>
    <row r="18" spans="1:30" ht="16.5" x14ac:dyDescent="0.3">
      <c r="A18" s="196"/>
      <c r="B18" s="197"/>
      <c r="C18" s="198"/>
      <c r="D18" s="198" t="s">
        <v>191</v>
      </c>
      <c r="E18" s="198"/>
      <c r="F18" s="198"/>
      <c r="G18" s="199">
        <v>1</v>
      </c>
      <c r="H18" s="464">
        <v>336690848</v>
      </c>
      <c r="I18" s="467">
        <v>24171819.109999999</v>
      </c>
      <c r="J18" s="467">
        <v>20348260.43</v>
      </c>
      <c r="K18" s="467">
        <v>28508967.309999999</v>
      </c>
      <c r="L18" s="467">
        <v>23813040</v>
      </c>
      <c r="M18" s="467">
        <v>22114872</v>
      </c>
      <c r="N18" s="467">
        <v>36178607</v>
      </c>
      <c r="O18" s="467">
        <v>23600000</v>
      </c>
      <c r="P18" s="467">
        <v>33069468.289999999</v>
      </c>
      <c r="Q18" s="467">
        <v>26785286.210000001</v>
      </c>
      <c r="R18" s="490">
        <f>+I18+J18+K18+L18+M18+N18+O18+P18+Q18</f>
        <v>238590320.34999999</v>
      </c>
      <c r="S18" s="437">
        <v>26665750</v>
      </c>
      <c r="T18" s="437">
        <v>27565750</v>
      </c>
      <c r="U18" s="437">
        <v>40871314</v>
      </c>
      <c r="V18" s="490">
        <f>+R18+S18+T18+U18</f>
        <v>333693134.35000002</v>
      </c>
      <c r="W18" s="368">
        <f>+H18-V18</f>
        <v>2997713.6499999762</v>
      </c>
      <c r="X18" s="255">
        <f>+W18/H18</f>
        <v>8.9034604528364734E-3</v>
      </c>
      <c r="Y18" s="187"/>
      <c r="Z18" s="254"/>
      <c r="AA18" s="202"/>
      <c r="AB18" s="202"/>
      <c r="AC18" s="202"/>
      <c r="AD18" t="s">
        <v>163</v>
      </c>
    </row>
    <row r="19" spans="1:30" ht="16.5" x14ac:dyDescent="0.3">
      <c r="A19" s="196"/>
      <c r="B19" s="197"/>
      <c r="C19" s="198"/>
      <c r="D19" s="198" t="s">
        <v>192</v>
      </c>
      <c r="E19" s="198"/>
      <c r="F19" s="198"/>
      <c r="G19" s="199">
        <v>2</v>
      </c>
      <c r="H19" s="464">
        <v>1608060</v>
      </c>
      <c r="I19" s="467">
        <v>32566.880000000001</v>
      </c>
      <c r="J19" s="467">
        <v>46724.12</v>
      </c>
      <c r="K19" s="467">
        <v>163428.23000000001</v>
      </c>
      <c r="L19" s="467">
        <v>3175.01</v>
      </c>
      <c r="M19" s="467">
        <v>5556.41</v>
      </c>
      <c r="N19" s="467">
        <v>126555.94</v>
      </c>
      <c r="O19" s="467">
        <v>12624.4</v>
      </c>
      <c r="P19" s="467">
        <v>70508.02</v>
      </c>
      <c r="Q19" s="467">
        <v>179705.58</v>
      </c>
      <c r="R19" s="490">
        <f t="shared" ref="R19:R30" si="0">+I19+J19+K19+L19+M19+N19+O19+P19+Q19</f>
        <v>640844.59000000008</v>
      </c>
      <c r="S19" s="489">
        <v>41000</v>
      </c>
      <c r="T19" s="489">
        <v>91000</v>
      </c>
      <c r="U19" s="489">
        <v>493526</v>
      </c>
      <c r="V19" s="490">
        <f t="shared" ref="V19:V30" si="1">+R19+S19+T19+U19</f>
        <v>1266370.5900000001</v>
      </c>
      <c r="W19" s="473">
        <f>+H19-V19</f>
        <v>341689.40999999992</v>
      </c>
      <c r="X19" s="472">
        <f>+W19/H19</f>
        <v>0.21248548561620831</v>
      </c>
      <c r="Y19" s="187"/>
      <c r="Z19" s="254"/>
      <c r="AA19" s="202"/>
      <c r="AB19" s="202"/>
      <c r="AC19" s="202"/>
      <c r="AD19" t="s">
        <v>163</v>
      </c>
    </row>
    <row r="20" spans="1:30" ht="16.5" x14ac:dyDescent="0.3">
      <c r="A20" s="196"/>
      <c r="B20" s="197"/>
      <c r="C20" s="198"/>
      <c r="D20" s="228" t="s">
        <v>193</v>
      </c>
      <c r="E20" s="198"/>
      <c r="F20" s="198"/>
      <c r="G20" s="199"/>
      <c r="H20" s="464"/>
      <c r="I20" s="467"/>
      <c r="J20" s="467"/>
      <c r="K20" s="467"/>
      <c r="L20" s="467"/>
      <c r="M20" s="467"/>
      <c r="N20" s="467"/>
      <c r="O20" s="467"/>
      <c r="P20" s="467"/>
      <c r="Q20" s="467"/>
      <c r="R20" s="490"/>
      <c r="S20" s="489"/>
      <c r="T20" s="489"/>
      <c r="U20" s="489"/>
      <c r="V20" s="490"/>
      <c r="W20" s="473"/>
      <c r="X20" s="472"/>
      <c r="Y20" s="187"/>
      <c r="Z20" s="254"/>
      <c r="AA20" s="202"/>
      <c r="AB20" s="202"/>
      <c r="AC20" s="202"/>
      <c r="AD20" t="s">
        <v>163</v>
      </c>
    </row>
    <row r="21" spans="1:30" ht="16.5" x14ac:dyDescent="0.3">
      <c r="A21" s="196"/>
      <c r="B21" s="197"/>
      <c r="C21" s="198"/>
      <c r="D21" s="198"/>
      <c r="E21" s="198" t="s">
        <v>194</v>
      </c>
      <c r="F21" s="198"/>
      <c r="G21" s="199">
        <v>31</v>
      </c>
      <c r="H21" s="464">
        <v>1865000</v>
      </c>
      <c r="I21" s="467">
        <f>42395.76+1852.04+122160.05+11278.87+17058.4</f>
        <v>194745.12</v>
      </c>
      <c r="J21" s="467">
        <v>121839.88</v>
      </c>
      <c r="K21" s="467">
        <v>214269.93</v>
      </c>
      <c r="L21" s="467">
        <v>103712.3</v>
      </c>
      <c r="M21" s="467">
        <v>67374</v>
      </c>
      <c r="N21" s="467">
        <v>186867</v>
      </c>
      <c r="O21" s="467">
        <v>77117</v>
      </c>
      <c r="P21" s="467">
        <v>216073.03</v>
      </c>
      <c r="Q21" s="467">
        <v>63271.360000000001</v>
      </c>
      <c r="R21" s="490">
        <f t="shared" si="0"/>
        <v>1245269.6200000001</v>
      </c>
      <c r="S21" s="489">
        <v>159500</v>
      </c>
      <c r="T21" s="489">
        <v>68500</v>
      </c>
      <c r="U21" s="489">
        <v>78500</v>
      </c>
      <c r="V21" s="490">
        <f t="shared" si="1"/>
        <v>1551769.62</v>
      </c>
      <c r="W21" s="473">
        <f t="shared" ref="W21:W29" si="2">+H21-V21</f>
        <v>313230.37999999989</v>
      </c>
      <c r="X21" s="472">
        <f>+W21/H21</f>
        <v>0.16795194638069699</v>
      </c>
      <c r="Y21" s="187"/>
      <c r="Z21" s="254"/>
      <c r="AA21" s="202"/>
      <c r="AB21" s="202"/>
      <c r="AC21" s="202"/>
      <c r="AD21" t="s">
        <v>163</v>
      </c>
    </row>
    <row r="22" spans="1:30" ht="16.5" x14ac:dyDescent="0.3">
      <c r="A22" s="196"/>
      <c r="B22" s="197"/>
      <c r="C22" s="198"/>
      <c r="D22" s="198"/>
      <c r="E22" s="198" t="s">
        <v>195</v>
      </c>
      <c r="F22" s="198"/>
      <c r="G22" s="199">
        <v>32</v>
      </c>
      <c r="H22" s="464">
        <v>2333031</v>
      </c>
      <c r="I22" s="467">
        <f>8500+2313.52+457.3+0</f>
        <v>11270.82</v>
      </c>
      <c r="J22" s="467">
        <v>2086892.9</v>
      </c>
      <c r="K22" s="467">
        <v>19676.52</v>
      </c>
      <c r="L22" s="467">
        <v>8500</v>
      </c>
      <c r="M22" s="467">
        <v>13308.54</v>
      </c>
      <c r="N22" s="467">
        <v>0</v>
      </c>
      <c r="O22" s="467">
        <v>11031</v>
      </c>
      <c r="P22" s="467">
        <v>24633.37</v>
      </c>
      <c r="Q22" s="467">
        <v>58232.54</v>
      </c>
      <c r="R22" s="490">
        <f t="shared" si="0"/>
        <v>2233545.69</v>
      </c>
      <c r="S22" s="469">
        <v>25000</v>
      </c>
      <c r="T22" s="469">
        <v>25000</v>
      </c>
      <c r="U22" s="489">
        <v>25000</v>
      </c>
      <c r="V22" s="490">
        <f t="shared" si="1"/>
        <v>2308545.69</v>
      </c>
      <c r="W22" s="473">
        <f t="shared" si="2"/>
        <v>24485.310000000056</v>
      </c>
      <c r="X22" s="472">
        <f>+W22/H22</f>
        <v>1.0495064146168678E-2</v>
      </c>
      <c r="Y22" s="187"/>
      <c r="Z22" s="254"/>
      <c r="AA22" s="202"/>
      <c r="AB22" s="202"/>
      <c r="AC22" s="202"/>
      <c r="AD22" t="s">
        <v>163</v>
      </c>
    </row>
    <row r="23" spans="1:30" ht="16.5" x14ac:dyDescent="0.3">
      <c r="A23" s="196"/>
      <c r="B23" s="197"/>
      <c r="C23" s="198"/>
      <c r="D23" s="198"/>
      <c r="E23" s="198" t="s">
        <v>196</v>
      </c>
      <c r="F23" s="198"/>
      <c r="G23" s="199">
        <v>33</v>
      </c>
      <c r="H23" s="464">
        <v>7474000</v>
      </c>
      <c r="I23" s="467">
        <f>3180+112862.02+666500+83097.85+1380+13750.19+3872+15500</f>
        <v>900142.05999999994</v>
      </c>
      <c r="J23" s="467">
        <v>724597.85</v>
      </c>
      <c r="K23" s="467">
        <v>999709.58</v>
      </c>
      <c r="L23" s="467">
        <v>645970</v>
      </c>
      <c r="M23" s="467">
        <v>173678.79</v>
      </c>
      <c r="N23" s="467">
        <v>960199</v>
      </c>
      <c r="O23" s="467">
        <v>510837</v>
      </c>
      <c r="P23" s="467">
        <v>13696.41</v>
      </c>
      <c r="Q23" s="467">
        <v>1090033.27</v>
      </c>
      <c r="R23" s="490">
        <f t="shared" si="0"/>
        <v>6018863.959999999</v>
      </c>
      <c r="S23" s="214">
        <v>1128543</v>
      </c>
      <c r="T23" s="214">
        <v>186200</v>
      </c>
      <c r="U23" s="214">
        <v>186200</v>
      </c>
      <c r="V23" s="490">
        <f t="shared" si="1"/>
        <v>7519806.959999999</v>
      </c>
      <c r="W23" s="473">
        <f t="shared" si="2"/>
        <v>-45806.959999999031</v>
      </c>
      <c r="X23" s="472">
        <f>+W23/H23</f>
        <v>-6.1288413165639594E-3</v>
      </c>
      <c r="Y23" s="187"/>
      <c r="Z23" s="254"/>
      <c r="AA23" s="202"/>
      <c r="AB23" s="202"/>
      <c r="AC23" s="202"/>
      <c r="AD23" t="s">
        <v>163</v>
      </c>
    </row>
    <row r="24" spans="1:30" ht="16.5" x14ac:dyDescent="0.3">
      <c r="A24" s="196"/>
      <c r="B24" s="197"/>
      <c r="C24" s="198"/>
      <c r="D24" s="198"/>
      <c r="E24" s="198" t="s">
        <v>197</v>
      </c>
      <c r="F24" s="198"/>
      <c r="G24" s="199">
        <v>34</v>
      </c>
      <c r="H24" s="464">
        <v>1212000</v>
      </c>
      <c r="I24" s="467">
        <f>6534+11543.55+0</f>
        <v>18077.55</v>
      </c>
      <c r="J24" s="467">
        <v>5874.05</v>
      </c>
      <c r="K24" s="467">
        <v>109708.15</v>
      </c>
      <c r="L24" s="467">
        <v>3512.21</v>
      </c>
      <c r="M24" s="467">
        <v>25372.880000000001</v>
      </c>
      <c r="N24" s="467">
        <v>4128</v>
      </c>
      <c r="O24" s="467">
        <v>79357</v>
      </c>
      <c r="P24" s="467">
        <v>102870.53</v>
      </c>
      <c r="Q24" s="467">
        <v>54885.760000000002</v>
      </c>
      <c r="R24" s="490">
        <f t="shared" si="0"/>
        <v>403786.13</v>
      </c>
      <c r="S24" s="489">
        <v>36500</v>
      </c>
      <c r="T24" s="489">
        <v>36500</v>
      </c>
      <c r="U24" s="489">
        <v>36500</v>
      </c>
      <c r="V24" s="490">
        <f t="shared" si="1"/>
        <v>513286.13</v>
      </c>
      <c r="W24" s="473">
        <f t="shared" si="2"/>
        <v>698713.87</v>
      </c>
      <c r="X24" s="472">
        <f>+W24/H24</f>
        <v>0.57649659240924089</v>
      </c>
      <c r="Y24" s="187"/>
      <c r="Z24" s="254"/>
      <c r="AA24" s="202"/>
      <c r="AB24" s="202"/>
      <c r="AC24" s="202"/>
      <c r="AD24" t="s">
        <v>163</v>
      </c>
    </row>
    <row r="25" spans="1:30" ht="16.5" x14ac:dyDescent="0.3">
      <c r="A25" s="196"/>
      <c r="B25" s="197"/>
      <c r="C25" s="198"/>
      <c r="D25" s="198"/>
      <c r="E25" s="198" t="s">
        <v>198</v>
      </c>
      <c r="F25" s="198"/>
      <c r="G25" s="199">
        <v>35</v>
      </c>
      <c r="H25" s="464">
        <v>15400000</v>
      </c>
      <c r="I25" s="467">
        <f>1216.45+14500+12519.74</f>
        <v>28236.190000000002</v>
      </c>
      <c r="J25" s="467">
        <v>1777829.95</v>
      </c>
      <c r="K25" s="467">
        <v>1332620.29</v>
      </c>
      <c r="L25" s="467">
        <v>839163.97</v>
      </c>
      <c r="M25" s="467">
        <v>840019.33</v>
      </c>
      <c r="N25" s="467">
        <v>480122</v>
      </c>
      <c r="O25" s="467">
        <v>802123</v>
      </c>
      <c r="P25" s="467">
        <v>1287283.82</v>
      </c>
      <c r="Q25" s="467">
        <v>3148645.61</v>
      </c>
      <c r="R25" s="490">
        <f t="shared" si="0"/>
        <v>10536044.16</v>
      </c>
      <c r="S25" s="489">
        <v>2193500</v>
      </c>
      <c r="T25" s="489">
        <v>1180920</v>
      </c>
      <c r="U25" s="489">
        <v>1175420</v>
      </c>
      <c r="V25" s="490">
        <f t="shared" si="1"/>
        <v>15085884.16</v>
      </c>
      <c r="W25" s="473">
        <f t="shared" si="2"/>
        <v>314115.83999999985</v>
      </c>
      <c r="X25" s="472">
        <f>+W25/H25</f>
        <v>2.0397132467532459E-2</v>
      </c>
      <c r="Y25" s="187"/>
      <c r="Z25" s="254"/>
      <c r="AA25" s="202"/>
      <c r="AB25" s="202"/>
      <c r="AC25" s="202"/>
      <c r="AD25" t="s">
        <v>163</v>
      </c>
    </row>
    <row r="26" spans="1:30" ht="16.5" x14ac:dyDescent="0.3">
      <c r="A26" s="205"/>
      <c r="B26" s="206"/>
      <c r="C26" s="198"/>
      <c r="D26" s="198"/>
      <c r="E26" s="198" t="s">
        <v>199</v>
      </c>
      <c r="F26" s="198"/>
      <c r="G26" s="199">
        <v>36</v>
      </c>
      <c r="H26" s="464"/>
      <c r="I26" s="467"/>
      <c r="J26" s="467">
        <v>0</v>
      </c>
      <c r="K26" s="467"/>
      <c r="L26" s="467"/>
      <c r="M26" s="467"/>
      <c r="N26" s="467"/>
      <c r="O26" s="467"/>
      <c r="P26" s="467"/>
      <c r="Q26" s="467"/>
      <c r="R26" s="490"/>
      <c r="S26" s="489"/>
      <c r="T26" s="489"/>
      <c r="U26" s="489"/>
      <c r="V26" s="490">
        <f t="shared" si="1"/>
        <v>0</v>
      </c>
      <c r="W26" s="473">
        <f t="shared" si="2"/>
        <v>0</v>
      </c>
      <c r="X26" s="472"/>
      <c r="Y26" s="187"/>
      <c r="Z26" s="254"/>
      <c r="AA26" s="210"/>
      <c r="AB26" s="210"/>
      <c r="AC26" s="210"/>
      <c r="AD26" t="s">
        <v>163</v>
      </c>
    </row>
    <row r="27" spans="1:30" ht="16.5" x14ac:dyDescent="0.3">
      <c r="A27" s="196"/>
      <c r="B27" s="197"/>
      <c r="C27" s="198"/>
      <c r="D27" s="198"/>
      <c r="E27" s="198" t="s">
        <v>457</v>
      </c>
      <c r="F27" s="198"/>
      <c r="G27" s="199">
        <v>37</v>
      </c>
      <c r="H27" s="464">
        <v>8466800</v>
      </c>
      <c r="I27" s="467">
        <v>133797.73000000001</v>
      </c>
      <c r="J27" s="467">
        <v>75824.39</v>
      </c>
      <c r="K27" s="467">
        <v>1253297.49</v>
      </c>
      <c r="L27" s="467">
        <v>111487.27</v>
      </c>
      <c r="M27" s="467">
        <v>1041041.13</v>
      </c>
      <c r="N27" s="467">
        <v>710330.44</v>
      </c>
      <c r="O27" s="467">
        <v>502734</v>
      </c>
      <c r="P27" s="467">
        <v>624804.04</v>
      </c>
      <c r="Q27" s="467">
        <v>583002.31999999995</v>
      </c>
      <c r="R27" s="490">
        <f t="shared" si="0"/>
        <v>5036318.8100000005</v>
      </c>
      <c r="S27" s="489">
        <v>650000</v>
      </c>
      <c r="T27" s="489">
        <v>650000</v>
      </c>
      <c r="U27" s="489">
        <v>650000</v>
      </c>
      <c r="V27" s="490">
        <f t="shared" si="1"/>
        <v>6986318.8100000005</v>
      </c>
      <c r="W27" s="473">
        <f t="shared" si="2"/>
        <v>1480481.1899999995</v>
      </c>
      <c r="X27" s="472">
        <f>+W27/H27</f>
        <v>0.17485722941370996</v>
      </c>
      <c r="Y27" s="187"/>
      <c r="Z27" s="254"/>
      <c r="AA27" s="202"/>
      <c r="AB27" s="202"/>
      <c r="AC27" s="202"/>
      <c r="AD27" t="s">
        <v>163</v>
      </c>
    </row>
    <row r="28" spans="1:30" ht="16.5" x14ac:dyDescent="0.3">
      <c r="A28" s="196"/>
      <c r="B28" s="197"/>
      <c r="C28" s="198"/>
      <c r="D28" s="198"/>
      <c r="E28" s="198" t="s">
        <v>201</v>
      </c>
      <c r="F28" s="198"/>
      <c r="G28" s="199">
        <v>38</v>
      </c>
      <c r="H28" s="464">
        <v>5094340</v>
      </c>
      <c r="I28" s="467">
        <v>0</v>
      </c>
      <c r="J28" s="467">
        <v>0</v>
      </c>
      <c r="K28" s="467">
        <v>98220.08</v>
      </c>
      <c r="L28" s="467">
        <v>0</v>
      </c>
      <c r="M28" s="467">
        <v>41962.96</v>
      </c>
      <c r="N28" s="467">
        <v>931</v>
      </c>
      <c r="O28" s="467">
        <v>41313</v>
      </c>
      <c r="P28" s="467">
        <v>0</v>
      </c>
      <c r="Q28" s="467">
        <v>4760</v>
      </c>
      <c r="R28" s="490">
        <f t="shared" si="0"/>
        <v>187187.04</v>
      </c>
      <c r="S28" s="489">
        <v>4000</v>
      </c>
      <c r="T28" s="489">
        <v>104000</v>
      </c>
      <c r="U28" s="489">
        <v>4000</v>
      </c>
      <c r="V28" s="490">
        <f t="shared" si="1"/>
        <v>299187.04000000004</v>
      </c>
      <c r="W28" s="473">
        <f t="shared" si="2"/>
        <v>4795152.96</v>
      </c>
      <c r="X28" s="472">
        <f>+W28/H28</f>
        <v>0.94127069649846695</v>
      </c>
      <c r="Y28" s="187"/>
      <c r="Z28" s="254"/>
      <c r="AA28" s="202"/>
      <c r="AB28" s="202"/>
      <c r="AC28" s="202"/>
      <c r="AD28" t="s">
        <v>163</v>
      </c>
    </row>
    <row r="29" spans="1:30" ht="16.5" x14ac:dyDescent="0.3">
      <c r="A29" s="196"/>
      <c r="B29" s="197"/>
      <c r="C29" s="198"/>
      <c r="D29" s="198"/>
      <c r="E29" s="198" t="s">
        <v>202</v>
      </c>
      <c r="F29" s="198"/>
      <c r="G29" s="199">
        <v>39</v>
      </c>
      <c r="H29" s="463">
        <v>14785000</v>
      </c>
      <c r="I29" s="463">
        <f>1118664.36+2000+3617.9+0</f>
        <v>1124282.26</v>
      </c>
      <c r="J29" s="463">
        <v>27208.85</v>
      </c>
      <c r="K29" s="463">
        <v>2246523.7200000002</v>
      </c>
      <c r="L29" s="463">
        <v>1083404.1100000001</v>
      </c>
      <c r="M29" s="463">
        <v>620594.49</v>
      </c>
      <c r="N29" s="463">
        <v>555188.37</v>
      </c>
      <c r="O29" s="463">
        <v>1530359</v>
      </c>
      <c r="P29" s="463">
        <v>706969.82</v>
      </c>
      <c r="Q29" s="463">
        <v>1154381.82</v>
      </c>
      <c r="R29" s="491">
        <f t="shared" si="0"/>
        <v>9048912.4400000013</v>
      </c>
      <c r="S29" s="463">
        <v>20000</v>
      </c>
      <c r="T29" s="463">
        <v>20000</v>
      </c>
      <c r="U29" s="463">
        <v>335000</v>
      </c>
      <c r="V29" s="491">
        <f t="shared" si="1"/>
        <v>9423912.4400000013</v>
      </c>
      <c r="W29" s="474">
        <f t="shared" si="2"/>
        <v>5361087.5599999987</v>
      </c>
      <c r="X29" s="475">
        <f>+W29/H29</f>
        <v>0.36260314913763941</v>
      </c>
      <c r="Y29" s="187"/>
      <c r="Z29" s="254"/>
      <c r="AA29" s="202"/>
      <c r="AB29" s="202"/>
      <c r="AC29" s="202"/>
      <c r="AD29" t="s">
        <v>163</v>
      </c>
    </row>
    <row r="30" spans="1:30" ht="16.5" x14ac:dyDescent="0.3">
      <c r="A30" s="196"/>
      <c r="B30" s="197"/>
      <c r="C30" s="198"/>
      <c r="D30" s="207" t="s">
        <v>310</v>
      </c>
      <c r="E30" s="198"/>
      <c r="F30" s="198"/>
      <c r="G30" s="199">
        <v>3</v>
      </c>
      <c r="H30" s="465">
        <f t="shared" ref="H30:N30" si="3">SUM(H21:H29)</f>
        <v>56630171</v>
      </c>
      <c r="I30" s="466">
        <f t="shared" si="3"/>
        <v>2410551.73</v>
      </c>
      <c r="J30" s="466">
        <f t="shared" si="3"/>
        <v>4820067.8699999992</v>
      </c>
      <c r="K30" s="466">
        <f t="shared" si="3"/>
        <v>6274025.7599999998</v>
      </c>
      <c r="L30" s="466">
        <f t="shared" si="3"/>
        <v>2795749.8600000003</v>
      </c>
      <c r="M30" s="466">
        <f t="shared" si="3"/>
        <v>2823352.12</v>
      </c>
      <c r="N30" s="466">
        <f t="shared" si="3"/>
        <v>2897765.81</v>
      </c>
      <c r="O30" s="466">
        <f>SUM(O21:O29)</f>
        <v>3554871</v>
      </c>
      <c r="P30" s="466">
        <f>SUM(P21:P29)</f>
        <v>2976331.02</v>
      </c>
      <c r="Q30" s="466">
        <f>SUM(Q21:Q29)</f>
        <v>6157212.6800000006</v>
      </c>
      <c r="R30" s="490">
        <f t="shared" si="0"/>
        <v>34709927.850000001</v>
      </c>
      <c r="S30" s="466">
        <f t="shared" ref="S30:U30" si="4">SUM(S21:S29)</f>
        <v>4217043</v>
      </c>
      <c r="T30" s="466">
        <f t="shared" si="4"/>
        <v>2271120</v>
      </c>
      <c r="U30" s="466">
        <f t="shared" si="4"/>
        <v>2490620</v>
      </c>
      <c r="V30" s="490">
        <f t="shared" si="1"/>
        <v>43688710.850000001</v>
      </c>
      <c r="W30" s="473">
        <f>SUM(W21:W29)</f>
        <v>12941460.149999999</v>
      </c>
      <c r="X30" s="472">
        <f>+W30/H30</f>
        <v>0.22852588861156711</v>
      </c>
      <c r="Y30" s="257"/>
      <c r="Z30" s="254"/>
      <c r="AA30" s="202"/>
      <c r="AB30" s="202"/>
      <c r="AC30" s="202"/>
      <c r="AD30" t="s">
        <v>163</v>
      </c>
    </row>
    <row r="31" spans="1:30" ht="16.5" x14ac:dyDescent="0.3">
      <c r="A31" s="196"/>
      <c r="B31" s="197"/>
      <c r="C31" s="198"/>
      <c r="D31" s="207"/>
      <c r="E31" s="198"/>
      <c r="F31" s="198"/>
      <c r="G31" s="199"/>
      <c r="I31" s="468"/>
      <c r="J31" s="468"/>
      <c r="K31" s="468"/>
      <c r="L31" s="468"/>
      <c r="M31" s="468"/>
      <c r="N31" s="468"/>
      <c r="O31" s="468"/>
      <c r="P31" s="468"/>
      <c r="Q31" s="468"/>
      <c r="S31" s="489"/>
      <c r="T31" s="489"/>
      <c r="U31" s="489"/>
      <c r="V31" s="371"/>
      <c r="W31" s="371"/>
      <c r="X31" s="255"/>
      <c r="Y31" s="187"/>
      <c r="Z31" s="254"/>
      <c r="AA31" s="202"/>
      <c r="AB31" s="202"/>
      <c r="AC31" s="202"/>
      <c r="AD31" t="s">
        <v>163</v>
      </c>
    </row>
    <row r="32" spans="1:30" ht="16.5" x14ac:dyDescent="0.3">
      <c r="A32" s="196"/>
      <c r="B32" s="197"/>
      <c r="C32" s="198"/>
      <c r="D32" s="228" t="s">
        <v>311</v>
      </c>
      <c r="E32" s="198"/>
      <c r="F32" s="198"/>
      <c r="G32" s="199"/>
      <c r="H32" s="212"/>
      <c r="I32" s="212"/>
      <c r="J32" s="487"/>
      <c r="K32" s="487"/>
      <c r="L32" s="487"/>
      <c r="M32" s="487"/>
      <c r="N32" s="487"/>
      <c r="O32" s="487"/>
      <c r="P32" s="487"/>
      <c r="Q32" s="487"/>
      <c r="R32" s="212"/>
      <c r="S32" s="470"/>
      <c r="T32" s="470"/>
      <c r="U32" s="470"/>
      <c r="V32" s="371"/>
      <c r="W32" s="371"/>
      <c r="X32" s="255"/>
      <c r="Y32" s="187"/>
      <c r="Z32" s="254"/>
      <c r="AA32" s="202"/>
      <c r="AB32" s="202"/>
      <c r="AC32" s="202"/>
      <c r="AD32" t="s">
        <v>163</v>
      </c>
    </row>
    <row r="33" spans="1:30" ht="16.5" x14ac:dyDescent="0.3">
      <c r="A33" s="205"/>
      <c r="B33" s="206"/>
      <c r="C33" s="198"/>
      <c r="D33" s="198"/>
      <c r="E33" s="198" t="s">
        <v>238</v>
      </c>
      <c r="F33" s="198"/>
      <c r="G33" s="199">
        <v>51</v>
      </c>
      <c r="H33" s="200">
        <v>0</v>
      </c>
      <c r="I33" s="200">
        <v>0</v>
      </c>
      <c r="J33" s="485">
        <v>0</v>
      </c>
      <c r="K33" s="485">
        <v>0</v>
      </c>
      <c r="L33" s="485"/>
      <c r="M33" s="485"/>
      <c r="N33" s="485"/>
      <c r="O33" s="485"/>
      <c r="P33" s="485"/>
      <c r="Q33" s="485"/>
      <c r="R33" s="200">
        <v>0</v>
      </c>
      <c r="S33" s="485"/>
      <c r="T33" s="485"/>
      <c r="U33" s="485"/>
      <c r="V33" s="368">
        <v>0</v>
      </c>
      <c r="W33" s="368">
        <v>0</v>
      </c>
      <c r="X33" s="255" t="s">
        <v>488</v>
      </c>
      <c r="Y33" s="187"/>
      <c r="Z33" s="254"/>
      <c r="AA33" s="210"/>
      <c r="AB33" s="210"/>
      <c r="AC33" s="210"/>
      <c r="AD33" t="s">
        <v>163</v>
      </c>
    </row>
    <row r="34" spans="1:30" ht="16.5" x14ac:dyDescent="0.3">
      <c r="A34" s="196"/>
      <c r="B34" s="197"/>
      <c r="C34" s="198"/>
      <c r="D34" s="198"/>
      <c r="E34" s="198" t="s">
        <v>220</v>
      </c>
      <c r="F34" s="198"/>
      <c r="G34" s="199" t="s">
        <v>219</v>
      </c>
      <c r="H34" s="200">
        <v>0</v>
      </c>
      <c r="I34" s="200">
        <v>0</v>
      </c>
      <c r="J34" s="485">
        <v>0</v>
      </c>
      <c r="K34" s="485">
        <v>0</v>
      </c>
      <c r="L34" s="485"/>
      <c r="M34" s="485"/>
      <c r="N34" s="485"/>
      <c r="O34" s="485"/>
      <c r="P34" s="485"/>
      <c r="Q34" s="485"/>
      <c r="R34" s="200">
        <v>0</v>
      </c>
      <c r="S34" s="485"/>
      <c r="T34" s="485"/>
      <c r="U34" s="485"/>
      <c r="V34" s="368">
        <v>0</v>
      </c>
      <c r="W34" s="368">
        <v>0</v>
      </c>
      <c r="X34" s="255" t="s">
        <v>488</v>
      </c>
      <c r="Y34" s="187"/>
      <c r="Z34" s="254"/>
      <c r="AA34" s="202"/>
      <c r="AB34" s="202"/>
      <c r="AC34" s="202"/>
      <c r="AD34" t="s">
        <v>163</v>
      </c>
    </row>
    <row r="35" spans="1:30" ht="16.5" x14ac:dyDescent="0.3">
      <c r="A35" s="196"/>
      <c r="B35" s="197"/>
      <c r="C35" s="198"/>
      <c r="D35" s="198"/>
      <c r="E35" s="198" t="s">
        <v>202</v>
      </c>
      <c r="F35" s="198"/>
      <c r="G35" s="199" t="s">
        <v>312</v>
      </c>
      <c r="H35" s="200">
        <v>0</v>
      </c>
      <c r="I35" s="200">
        <v>0</v>
      </c>
      <c r="J35" s="485">
        <v>0</v>
      </c>
      <c r="K35" s="485">
        <v>0</v>
      </c>
      <c r="L35" s="485"/>
      <c r="M35" s="485"/>
      <c r="N35" s="485"/>
      <c r="O35" s="485"/>
      <c r="P35" s="485"/>
      <c r="Q35" s="485"/>
      <c r="R35" s="200">
        <v>0</v>
      </c>
      <c r="S35" s="485"/>
      <c r="T35" s="485"/>
      <c r="U35" s="485"/>
      <c r="V35" s="368">
        <v>0</v>
      </c>
      <c r="W35" s="368">
        <v>0</v>
      </c>
      <c r="X35" s="255" t="s">
        <v>488</v>
      </c>
      <c r="Y35" s="187"/>
      <c r="Z35" s="254"/>
      <c r="AA35" s="202"/>
      <c r="AB35" s="202"/>
      <c r="AC35" s="202"/>
      <c r="AD35" t="s">
        <v>163</v>
      </c>
    </row>
    <row r="36" spans="1:30" ht="16.5" x14ac:dyDescent="0.3">
      <c r="A36" s="205"/>
      <c r="B36" s="206"/>
      <c r="C36" s="198"/>
      <c r="D36" s="207" t="s">
        <v>313</v>
      </c>
      <c r="E36" s="198"/>
      <c r="F36" s="198"/>
      <c r="G36" s="199"/>
      <c r="H36" s="208">
        <v>0</v>
      </c>
      <c r="I36" s="208">
        <v>0</v>
      </c>
      <c r="J36" s="486">
        <v>0</v>
      </c>
      <c r="K36" s="486">
        <v>0</v>
      </c>
      <c r="L36" s="486"/>
      <c r="M36" s="486"/>
      <c r="N36" s="486"/>
      <c r="O36" s="486"/>
      <c r="P36" s="486"/>
      <c r="Q36" s="486"/>
      <c r="R36" s="208">
        <v>0</v>
      </c>
      <c r="S36" s="486"/>
      <c r="T36" s="486"/>
      <c r="U36" s="486"/>
      <c r="V36" s="370">
        <v>0</v>
      </c>
      <c r="W36" s="370">
        <v>0</v>
      </c>
      <c r="X36" s="337" t="s">
        <v>488</v>
      </c>
      <c r="Y36" s="187"/>
      <c r="Z36" s="254"/>
      <c r="AA36" s="210"/>
      <c r="AB36" s="210"/>
      <c r="AC36" s="210"/>
      <c r="AD36" t="s">
        <v>163</v>
      </c>
    </row>
    <row r="37" spans="1:30" ht="16.5" x14ac:dyDescent="0.3">
      <c r="A37" s="205"/>
      <c r="B37" s="206"/>
      <c r="C37" s="198"/>
      <c r="D37" s="198"/>
      <c r="E37" s="198"/>
      <c r="F37" s="198"/>
      <c r="G37" s="199"/>
      <c r="H37" s="212"/>
      <c r="I37" s="212"/>
      <c r="J37" s="487"/>
      <c r="K37" s="487"/>
      <c r="L37" s="487"/>
      <c r="M37" s="487"/>
      <c r="N37" s="487"/>
      <c r="O37" s="487"/>
      <c r="P37" s="487"/>
      <c r="Q37" s="487"/>
      <c r="R37" s="212"/>
      <c r="S37" s="487"/>
      <c r="T37" s="487"/>
      <c r="U37" s="487"/>
      <c r="V37" s="371"/>
      <c r="W37" s="371"/>
      <c r="X37" s="255"/>
      <c r="Y37" s="187"/>
      <c r="Z37" s="254"/>
      <c r="AA37" s="210"/>
      <c r="AB37" s="210"/>
      <c r="AC37" s="210"/>
      <c r="AD37" t="s">
        <v>163</v>
      </c>
    </row>
    <row r="38" spans="1:30" ht="16.5" x14ac:dyDescent="0.3">
      <c r="A38" s="205"/>
      <c r="B38" s="206"/>
      <c r="C38" s="198"/>
      <c r="D38" s="198" t="s">
        <v>224</v>
      </c>
      <c r="E38" s="198"/>
      <c r="F38" s="198"/>
      <c r="G38" s="199" t="s">
        <v>314</v>
      </c>
      <c r="H38" s="200">
        <v>0</v>
      </c>
      <c r="I38" s="200">
        <v>0</v>
      </c>
      <c r="J38" s="485">
        <v>0</v>
      </c>
      <c r="K38" s="485">
        <v>0</v>
      </c>
      <c r="L38" s="485"/>
      <c r="M38" s="485"/>
      <c r="N38" s="485"/>
      <c r="O38" s="485"/>
      <c r="P38" s="485"/>
      <c r="Q38" s="485"/>
      <c r="R38" s="200">
        <v>0</v>
      </c>
      <c r="S38" s="485"/>
      <c r="T38" s="485"/>
      <c r="U38" s="485"/>
      <c r="V38" s="368">
        <v>0</v>
      </c>
      <c r="W38" s="368">
        <v>0</v>
      </c>
      <c r="X38" s="255" t="s">
        <v>488</v>
      </c>
      <c r="Y38" s="187"/>
      <c r="Z38" s="254"/>
      <c r="AA38" s="210"/>
      <c r="AB38" s="210"/>
      <c r="AC38" s="210"/>
      <c r="AD38" t="s">
        <v>163</v>
      </c>
    </row>
    <row r="39" spans="1:30" ht="16.5" x14ac:dyDescent="0.3">
      <c r="A39" s="205"/>
      <c r="B39" s="206"/>
      <c r="C39" s="198"/>
      <c r="D39" s="198" t="s">
        <v>226</v>
      </c>
      <c r="E39" s="198"/>
      <c r="F39" s="198"/>
      <c r="G39">
        <v>8</v>
      </c>
      <c r="H39" s="200">
        <v>0</v>
      </c>
      <c r="I39" s="200">
        <v>0</v>
      </c>
      <c r="J39" s="485">
        <v>0</v>
      </c>
      <c r="K39" s="485">
        <v>0</v>
      </c>
      <c r="L39" s="485"/>
      <c r="M39" s="485"/>
      <c r="N39" s="485"/>
      <c r="O39" s="485"/>
      <c r="P39" s="485"/>
      <c r="Q39" s="485"/>
      <c r="R39" s="200">
        <v>0</v>
      </c>
      <c r="S39" s="485"/>
      <c r="T39" s="485"/>
      <c r="U39" s="485"/>
      <c r="V39" s="368">
        <v>0</v>
      </c>
      <c r="W39" s="368">
        <v>0</v>
      </c>
      <c r="X39" s="255" t="s">
        <v>488</v>
      </c>
      <c r="Y39" s="187"/>
      <c r="Z39" s="254"/>
      <c r="AA39" s="210"/>
      <c r="AB39" s="210"/>
      <c r="AC39" s="210"/>
      <c r="AD39" t="s">
        <v>163</v>
      </c>
    </row>
    <row r="40" spans="1:30" ht="16.5" x14ac:dyDescent="0.3">
      <c r="A40" s="205"/>
      <c r="B40" s="206"/>
      <c r="C40" s="198"/>
      <c r="D40" s="198"/>
      <c r="E40" s="198"/>
      <c r="F40" s="198"/>
      <c r="G40" s="199"/>
      <c r="H40" s="200"/>
      <c r="I40" s="212"/>
      <c r="J40" s="487"/>
      <c r="K40" s="487"/>
      <c r="L40" s="487"/>
      <c r="M40" s="487"/>
      <c r="N40" s="487"/>
      <c r="O40" s="487"/>
      <c r="P40" s="487"/>
      <c r="Q40" s="487"/>
      <c r="R40" s="212"/>
      <c r="S40" s="487"/>
      <c r="T40" s="487"/>
      <c r="U40" s="487"/>
      <c r="V40" s="366"/>
      <c r="W40" s="368"/>
      <c r="X40" s="255"/>
      <c r="Y40" s="187"/>
      <c r="Z40" s="254"/>
      <c r="AA40" s="210"/>
      <c r="AB40" s="210"/>
      <c r="AC40" s="210"/>
      <c r="AD40" t="s">
        <v>163</v>
      </c>
    </row>
    <row r="41" spans="1:30" ht="16.5" x14ac:dyDescent="0.3">
      <c r="A41" s="205"/>
      <c r="B41" s="206"/>
      <c r="C41" s="207" t="s">
        <v>315</v>
      </c>
      <c r="D41" s="207"/>
      <c r="E41" s="207"/>
      <c r="F41" s="229"/>
      <c r="G41" s="258"/>
      <c r="H41" s="208">
        <f t="shared" ref="H41:R41" si="5">+H30+H19+H18</f>
        <v>394929079</v>
      </c>
      <c r="I41" s="208">
        <f t="shared" si="5"/>
        <v>26614937.719999999</v>
      </c>
      <c r="J41" s="486">
        <f t="shared" si="5"/>
        <v>25215052.419999998</v>
      </c>
      <c r="K41" s="486">
        <f t="shared" si="5"/>
        <v>34946421.299999997</v>
      </c>
      <c r="L41" s="486">
        <f t="shared" si="5"/>
        <v>26611964.870000001</v>
      </c>
      <c r="M41" s="486">
        <f t="shared" si="5"/>
        <v>24943780.530000001</v>
      </c>
      <c r="N41" s="486">
        <f t="shared" si="5"/>
        <v>39202928.75</v>
      </c>
      <c r="O41" s="486">
        <f t="shared" si="5"/>
        <v>27167495.399999999</v>
      </c>
      <c r="P41" s="486">
        <f t="shared" si="5"/>
        <v>36116307.329999998</v>
      </c>
      <c r="Q41" s="486">
        <f t="shared" si="5"/>
        <v>33122204.470000003</v>
      </c>
      <c r="R41" s="486">
        <f t="shared" si="5"/>
        <v>273941092.79000002</v>
      </c>
      <c r="S41" s="486">
        <f t="shared" ref="S41:W41" si="6">+S30+S19+S18</f>
        <v>30923793</v>
      </c>
      <c r="T41" s="486">
        <f t="shared" si="6"/>
        <v>29927870</v>
      </c>
      <c r="U41" s="486">
        <f t="shared" si="6"/>
        <v>43855460</v>
      </c>
      <c r="V41" s="471">
        <f t="shared" si="6"/>
        <v>378648215.79000002</v>
      </c>
      <c r="W41" s="471">
        <f t="shared" si="6"/>
        <v>16280863.209999975</v>
      </c>
      <c r="X41" s="337"/>
      <c r="Y41" s="187"/>
      <c r="Z41" s="254"/>
      <c r="AA41" s="210"/>
      <c r="AB41" s="210"/>
      <c r="AC41" s="210"/>
      <c r="AD41" t="s">
        <v>163</v>
      </c>
    </row>
    <row r="42" spans="1:30" ht="16.5" x14ac:dyDescent="0.3">
      <c r="A42" s="205"/>
      <c r="B42" s="206"/>
      <c r="C42" s="207"/>
      <c r="D42" s="207"/>
      <c r="E42" s="207"/>
      <c r="F42" s="207"/>
      <c r="G42" s="213"/>
      <c r="H42" s="212"/>
      <c r="I42" s="212"/>
      <c r="J42" s="487"/>
      <c r="K42" s="487"/>
      <c r="L42" s="487"/>
      <c r="M42" s="487"/>
      <c r="N42" s="487"/>
      <c r="O42" s="487"/>
      <c r="P42" s="487"/>
      <c r="Q42" s="487"/>
      <c r="R42" s="212"/>
      <c r="S42" s="487"/>
      <c r="T42" s="487"/>
      <c r="U42" s="487"/>
      <c r="V42" s="371"/>
      <c r="W42" s="371"/>
      <c r="X42" s="261"/>
      <c r="Y42" s="187"/>
      <c r="Z42" s="254"/>
      <c r="AA42" s="210"/>
      <c r="AB42" s="210"/>
      <c r="AC42" s="210"/>
      <c r="AD42" t="s">
        <v>163</v>
      </c>
    </row>
    <row r="43" spans="1:30" ht="16.5" x14ac:dyDescent="0.3">
      <c r="A43" s="205"/>
      <c r="B43" s="206"/>
      <c r="C43" s="308" t="s">
        <v>350</v>
      </c>
      <c r="D43" s="308"/>
      <c r="E43" s="308"/>
      <c r="F43" s="308"/>
      <c r="G43" s="324"/>
      <c r="H43" s="310"/>
      <c r="I43" s="310"/>
      <c r="J43" s="310"/>
      <c r="K43" s="310"/>
      <c r="L43" s="310"/>
      <c r="M43" s="310"/>
      <c r="N43" s="310"/>
      <c r="O43" s="310"/>
      <c r="P43" s="310"/>
      <c r="Q43" s="310"/>
      <c r="R43" s="310"/>
      <c r="S43" s="310"/>
      <c r="T43" s="310"/>
      <c r="U43" s="310"/>
      <c r="V43" s="387"/>
      <c r="W43" s="387"/>
      <c r="X43" s="385"/>
      <c r="Y43" s="187"/>
      <c r="Z43" s="254"/>
      <c r="AA43" s="210"/>
      <c r="AB43" s="210"/>
      <c r="AC43" s="210"/>
      <c r="AD43" t="s">
        <v>163</v>
      </c>
    </row>
    <row r="44" spans="1:30" ht="16.5" x14ac:dyDescent="0.3">
      <c r="A44" s="205"/>
      <c r="B44" s="206"/>
      <c r="C44" s="207"/>
      <c r="D44" s="207"/>
      <c r="E44" s="207"/>
      <c r="F44" s="207"/>
      <c r="G44" s="260"/>
      <c r="H44" s="212"/>
      <c r="I44" s="212"/>
      <c r="J44" s="487"/>
      <c r="K44" s="487"/>
      <c r="L44" s="487"/>
      <c r="M44" s="487"/>
      <c r="N44" s="487"/>
      <c r="O44" s="487"/>
      <c r="P44" s="487"/>
      <c r="Q44" s="487"/>
      <c r="R44" s="212"/>
      <c r="S44" s="487"/>
      <c r="T44" s="487"/>
      <c r="U44" s="487"/>
      <c r="V44" s="371"/>
      <c r="W44" s="371"/>
      <c r="X44" s="261"/>
      <c r="Y44" s="187"/>
      <c r="Z44" s="254"/>
      <c r="AA44" s="210"/>
      <c r="AB44" s="210"/>
      <c r="AC44" s="210"/>
      <c r="AD44" t="s">
        <v>163</v>
      </c>
    </row>
    <row r="45" spans="1:30" ht="16.5" x14ac:dyDescent="0.3">
      <c r="A45" s="196"/>
      <c r="B45" s="197"/>
      <c r="C45" s="198"/>
      <c r="D45" s="269" t="s">
        <v>176</v>
      </c>
      <c r="E45" s="198"/>
      <c r="F45" s="198"/>
      <c r="G45" s="320">
        <v>17.2</v>
      </c>
      <c r="H45" s="344">
        <f>+H41</f>
        <v>394929079</v>
      </c>
      <c r="I45" s="344">
        <v>0</v>
      </c>
      <c r="J45" s="344">
        <f>24709000+2990000</f>
        <v>27699000</v>
      </c>
      <c r="K45" s="344">
        <v>24637500</v>
      </c>
      <c r="L45" s="344">
        <f>8607746+15249481+2000000+1543000+1456500</f>
        <v>28856727</v>
      </c>
      <c r="M45" s="344">
        <f>806372+124908+557712+5885213+2932167+23813040</f>
        <v>34119412</v>
      </c>
      <c r="N45" s="344">
        <f>22114872+750000</f>
        <v>22864872</v>
      </c>
      <c r="O45" s="344">
        <f>29672088+6506519+2891182+1250000+2200000+1493422</f>
        <v>44013211</v>
      </c>
      <c r="P45" s="344">
        <v>27086000</v>
      </c>
      <c r="Q45" s="344">
        <f>23600000+12450000+2243500</f>
        <v>38293500</v>
      </c>
      <c r="R45" s="200">
        <f>+I45+K45+J45+L45+M45+N45+O45+P45+Q45</f>
        <v>247570222</v>
      </c>
      <c r="S45" s="485"/>
      <c r="T45" s="485"/>
      <c r="U45" s="485"/>
      <c r="V45" s="368"/>
      <c r="W45" s="368"/>
      <c r="X45" s="255"/>
      <c r="Y45" s="187"/>
      <c r="Z45" s="254"/>
      <c r="AA45" s="202"/>
      <c r="AB45" s="202"/>
      <c r="AC45" s="202"/>
      <c r="AD45" t="s">
        <v>163</v>
      </c>
    </row>
    <row r="46" spans="1:30" ht="16.5" x14ac:dyDescent="0.3">
      <c r="A46" s="196"/>
      <c r="B46" s="197"/>
      <c r="C46" s="198"/>
      <c r="D46" s="269" t="s">
        <v>180</v>
      </c>
      <c r="E46" s="198"/>
      <c r="F46" s="198"/>
      <c r="G46" s="320">
        <v>17.399999999999999</v>
      </c>
      <c r="H46" s="344"/>
      <c r="I46" s="200"/>
      <c r="J46" s="485"/>
      <c r="K46" s="485"/>
      <c r="L46" s="485"/>
      <c r="M46" s="485"/>
      <c r="N46" s="485"/>
      <c r="O46" s="485"/>
      <c r="P46" s="485"/>
      <c r="Q46" s="485"/>
      <c r="R46" s="200"/>
      <c r="S46" s="485"/>
      <c r="T46" s="485"/>
      <c r="U46" s="485"/>
      <c r="V46" s="368"/>
      <c r="W46" s="368"/>
      <c r="X46" s="255"/>
      <c r="Y46" s="187"/>
      <c r="Z46" s="254"/>
      <c r="AA46" s="202"/>
      <c r="AB46" s="202"/>
      <c r="AC46" s="202"/>
      <c r="AD46" t="s">
        <v>163</v>
      </c>
    </row>
    <row r="47" spans="1:30" ht="16.5" x14ac:dyDescent="0.3">
      <c r="A47" s="196"/>
      <c r="B47" s="197"/>
      <c r="C47" s="314" t="s">
        <v>309</v>
      </c>
      <c r="D47" s="198"/>
      <c r="E47" s="198"/>
      <c r="F47" s="268"/>
      <c r="G47" s="311"/>
      <c r="H47" s="373"/>
      <c r="I47" s="373"/>
      <c r="J47" s="373"/>
      <c r="K47" s="373"/>
      <c r="L47" s="373"/>
      <c r="M47" s="373"/>
      <c r="N47" s="373"/>
      <c r="O47" s="373"/>
      <c r="P47" s="373"/>
      <c r="Q47" s="373"/>
      <c r="R47" s="373"/>
      <c r="S47" s="373"/>
      <c r="T47" s="373"/>
      <c r="U47" s="373"/>
      <c r="V47" s="368"/>
      <c r="W47" s="368"/>
      <c r="X47" s="255"/>
      <c r="Y47" s="187"/>
      <c r="Z47" s="254"/>
      <c r="AA47" s="202"/>
      <c r="AB47" s="202"/>
      <c r="AC47" s="202"/>
      <c r="AD47" t="s">
        <v>163</v>
      </c>
    </row>
    <row r="48" spans="1:30" ht="16.5" x14ac:dyDescent="0.3">
      <c r="A48" s="205"/>
      <c r="B48" s="206"/>
      <c r="C48" s="198"/>
      <c r="D48" s="198"/>
      <c r="E48" s="198"/>
      <c r="F48" s="198"/>
      <c r="G48" s="199"/>
      <c r="H48" s="212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4"/>
      <c r="T48" s="344"/>
      <c r="U48" s="344"/>
      <c r="V48" s="366"/>
      <c r="W48" s="368"/>
      <c r="X48" s="255"/>
      <c r="Y48" s="187"/>
      <c r="Z48" s="254"/>
      <c r="AA48" s="210"/>
      <c r="AB48" s="210"/>
      <c r="AC48" s="210"/>
      <c r="AD48" t="s">
        <v>163</v>
      </c>
    </row>
    <row r="49" spans="1:30" ht="16.5" x14ac:dyDescent="0.3">
      <c r="A49" s="205"/>
      <c r="B49" s="206"/>
      <c r="C49" s="326" t="s">
        <v>458</v>
      </c>
      <c r="D49" s="308"/>
      <c r="E49" s="325"/>
      <c r="F49" s="308"/>
      <c r="G49" s="309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87"/>
      <c r="W49" s="387"/>
      <c r="X49" s="385"/>
      <c r="Y49" s="187"/>
      <c r="Z49" s="254"/>
      <c r="AA49" s="210"/>
      <c r="AB49" s="210"/>
      <c r="AC49" s="210"/>
      <c r="AD49" t="s">
        <v>163</v>
      </c>
    </row>
    <row r="50" spans="1:30" ht="17.25" thickBot="1" x14ac:dyDescent="0.35">
      <c r="A50" s="205"/>
      <c r="B50" s="315"/>
      <c r="C50" s="312"/>
      <c r="D50" s="312"/>
      <c r="E50" s="312"/>
      <c r="F50" s="312"/>
      <c r="G50" s="313"/>
      <c r="H50" s="374"/>
      <c r="I50" s="374"/>
      <c r="J50" s="374"/>
      <c r="K50" s="374"/>
      <c r="L50" s="374"/>
      <c r="M50" s="374"/>
      <c r="N50" s="374"/>
      <c r="O50" s="374"/>
      <c r="P50" s="374"/>
      <c r="Q50" s="374"/>
      <c r="R50" s="374"/>
      <c r="S50" s="374"/>
      <c r="T50" s="374"/>
      <c r="U50" s="374"/>
      <c r="V50" s="375"/>
      <c r="W50" s="376"/>
      <c r="X50" s="338"/>
      <c r="Y50" s="316"/>
      <c r="Z50" s="254"/>
      <c r="AA50" s="210"/>
      <c r="AB50" s="210"/>
      <c r="AC50" s="210"/>
      <c r="AD50" t="s">
        <v>163</v>
      </c>
    </row>
    <row r="51" spans="1:30" ht="16.5" x14ac:dyDescent="0.3">
      <c r="A51" s="205"/>
      <c r="B51" s="206"/>
      <c r="C51" s="198"/>
      <c r="D51" s="198"/>
      <c r="E51" s="198"/>
      <c r="F51" s="198"/>
      <c r="G51" s="199"/>
      <c r="H51" s="344"/>
      <c r="I51" s="344"/>
      <c r="J51" s="344"/>
      <c r="K51" s="344"/>
      <c r="L51" s="344"/>
      <c r="M51" s="344"/>
      <c r="N51" s="344"/>
      <c r="O51" s="344"/>
      <c r="P51" s="344"/>
      <c r="Q51" s="344"/>
      <c r="R51" s="344"/>
      <c r="S51" s="344"/>
      <c r="T51" s="344"/>
      <c r="U51" s="344"/>
      <c r="V51" s="366"/>
      <c r="W51" s="371"/>
      <c r="X51" s="255"/>
      <c r="Y51" s="187"/>
      <c r="Z51" s="254"/>
      <c r="AA51" s="210"/>
      <c r="AB51" s="210"/>
      <c r="AC51" s="210"/>
      <c r="AD51" t="s">
        <v>163</v>
      </c>
    </row>
    <row r="52" spans="1:30" ht="16.5" x14ac:dyDescent="0.3">
      <c r="A52" s="205"/>
      <c r="B52" s="206"/>
      <c r="C52" s="321" t="s">
        <v>316</v>
      </c>
      <c r="D52" s="228"/>
      <c r="E52" s="198"/>
      <c r="F52" s="198"/>
      <c r="G52" s="199"/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344"/>
      <c r="T52" s="344"/>
      <c r="U52" s="344"/>
      <c r="V52" s="366"/>
      <c r="W52" s="371"/>
      <c r="X52" s="255"/>
      <c r="Y52" s="187"/>
      <c r="Z52" s="254"/>
      <c r="AA52" s="210"/>
      <c r="AB52" s="210"/>
      <c r="AC52" s="210"/>
      <c r="AD52" t="s">
        <v>163</v>
      </c>
    </row>
    <row r="53" spans="1:30" ht="16.5" x14ac:dyDescent="0.3">
      <c r="A53" s="205"/>
      <c r="B53" s="206"/>
      <c r="C53" s="228"/>
      <c r="D53" s="228" t="s">
        <v>317</v>
      </c>
      <c r="E53" s="198"/>
      <c r="F53" s="198"/>
      <c r="G53" s="199" t="s">
        <v>327</v>
      </c>
      <c r="H53" s="200"/>
      <c r="I53" s="200"/>
      <c r="J53" s="485"/>
      <c r="K53" s="485"/>
      <c r="L53" s="485"/>
      <c r="M53" s="485"/>
      <c r="N53" s="485"/>
      <c r="O53" s="485"/>
      <c r="P53" s="485"/>
      <c r="Q53" s="485"/>
      <c r="R53" s="200"/>
      <c r="S53" s="485"/>
      <c r="T53" s="485"/>
      <c r="U53" s="485"/>
      <c r="V53" s="371"/>
      <c r="W53" s="368"/>
      <c r="X53" s="255"/>
      <c r="Y53" s="187"/>
      <c r="Z53" s="254"/>
      <c r="AA53" s="210"/>
      <c r="AB53" s="210"/>
      <c r="AC53" s="210"/>
      <c r="AD53" t="s">
        <v>163</v>
      </c>
    </row>
    <row r="54" spans="1:30" ht="16.5" x14ac:dyDescent="0.3">
      <c r="A54" s="205"/>
      <c r="B54" s="206"/>
      <c r="C54" s="228"/>
      <c r="D54" s="228" t="s">
        <v>275</v>
      </c>
      <c r="E54" s="198"/>
      <c r="F54" s="198"/>
      <c r="G54" s="199" t="s">
        <v>125</v>
      </c>
      <c r="H54" s="200"/>
      <c r="I54" s="200"/>
      <c r="J54" s="485"/>
      <c r="K54" s="485"/>
      <c r="L54" s="485"/>
      <c r="M54" s="485"/>
      <c r="N54" s="485"/>
      <c r="O54" s="485"/>
      <c r="P54" s="485"/>
      <c r="Q54" s="485"/>
      <c r="R54" s="200"/>
      <c r="S54" s="485"/>
      <c r="T54" s="485"/>
      <c r="U54" s="485"/>
      <c r="V54" s="368"/>
      <c r="W54" s="368"/>
      <c r="X54" s="255"/>
      <c r="Y54" s="187"/>
      <c r="Z54" s="254"/>
      <c r="AA54" s="210"/>
      <c r="AB54" s="210"/>
      <c r="AC54" s="210"/>
      <c r="AD54" t="s">
        <v>163</v>
      </c>
    </row>
    <row r="55" spans="1:30" ht="16.5" x14ac:dyDescent="0.3">
      <c r="A55" s="205"/>
      <c r="B55" s="206"/>
      <c r="C55" s="228"/>
      <c r="D55" s="228" t="s">
        <v>277</v>
      </c>
      <c r="E55" s="198"/>
      <c r="F55" s="198"/>
      <c r="G55" s="199" t="s">
        <v>126</v>
      </c>
      <c r="H55" s="200"/>
      <c r="I55" s="200"/>
      <c r="J55" s="485"/>
      <c r="K55" s="485"/>
      <c r="L55" s="485"/>
      <c r="M55" s="485"/>
      <c r="N55" s="485"/>
      <c r="O55" s="485"/>
      <c r="P55" s="485"/>
      <c r="Q55" s="485"/>
      <c r="R55" s="200"/>
      <c r="S55" s="485"/>
      <c r="T55" s="485"/>
      <c r="U55" s="485"/>
      <c r="V55" s="368"/>
      <c r="W55" s="368"/>
      <c r="X55" s="255"/>
      <c r="Y55" s="187"/>
      <c r="Z55" s="254"/>
      <c r="AA55" s="210"/>
      <c r="AB55" s="210"/>
      <c r="AC55" s="210"/>
      <c r="AD55" t="s">
        <v>163</v>
      </c>
    </row>
    <row r="56" spans="1:30" ht="16.5" x14ac:dyDescent="0.3">
      <c r="A56" s="205"/>
      <c r="B56" s="206"/>
      <c r="C56" s="228"/>
      <c r="D56" s="228" t="s">
        <v>319</v>
      </c>
      <c r="E56" s="198"/>
      <c r="F56" s="198"/>
      <c r="G56" s="199" t="s">
        <v>127</v>
      </c>
      <c r="H56" s="200"/>
      <c r="I56" s="200"/>
      <c r="J56" s="485"/>
      <c r="K56" s="485"/>
      <c r="L56" s="485"/>
      <c r="M56" s="485"/>
      <c r="N56" s="485"/>
      <c r="O56" s="485"/>
      <c r="P56" s="485"/>
      <c r="Q56" s="485"/>
      <c r="R56" s="200"/>
      <c r="S56" s="485"/>
      <c r="T56" s="485"/>
      <c r="U56" s="485"/>
      <c r="V56" s="368"/>
      <c r="W56" s="368"/>
      <c r="X56" s="255"/>
      <c r="Y56" s="187"/>
      <c r="Z56" s="254"/>
      <c r="AA56" s="210"/>
      <c r="AB56" s="210"/>
      <c r="AC56" s="210"/>
      <c r="AD56" t="s">
        <v>163</v>
      </c>
    </row>
    <row r="57" spans="1:30" ht="16.5" x14ac:dyDescent="0.3">
      <c r="A57" s="205"/>
      <c r="B57" s="206"/>
      <c r="C57" s="228"/>
      <c r="D57" s="228" t="s">
        <v>282</v>
      </c>
      <c r="E57" s="198"/>
      <c r="F57" s="198"/>
      <c r="G57" s="199" t="s">
        <v>320</v>
      </c>
      <c r="H57" s="200"/>
      <c r="I57" s="200"/>
      <c r="J57" s="485"/>
      <c r="K57" s="485"/>
      <c r="L57" s="485"/>
      <c r="M57" s="485"/>
      <c r="N57" s="485"/>
      <c r="O57" s="485"/>
      <c r="P57" s="485"/>
      <c r="Q57" s="485"/>
      <c r="R57" s="200"/>
      <c r="S57" s="485"/>
      <c r="T57" s="485"/>
      <c r="U57" s="485"/>
      <c r="V57" s="368"/>
      <c r="W57" s="368"/>
      <c r="X57" s="255"/>
      <c r="Y57" s="187"/>
      <c r="Z57" s="254"/>
      <c r="AA57" s="210"/>
      <c r="AB57" s="210"/>
      <c r="AC57" s="210"/>
      <c r="AD57" t="s">
        <v>163</v>
      </c>
    </row>
    <row r="58" spans="1:30" ht="16.5" x14ac:dyDescent="0.3">
      <c r="A58" s="205"/>
      <c r="B58" s="206"/>
      <c r="C58" s="321" t="s">
        <v>321</v>
      </c>
      <c r="D58" s="321"/>
      <c r="E58" s="207"/>
      <c r="F58" s="230"/>
      <c r="G58" s="259"/>
      <c r="H58" s="212"/>
      <c r="I58" s="212"/>
      <c r="J58" s="487"/>
      <c r="K58" s="487"/>
      <c r="L58" s="487"/>
      <c r="M58" s="487"/>
      <c r="N58" s="487"/>
      <c r="O58" s="487"/>
      <c r="P58" s="487"/>
      <c r="Q58" s="487"/>
      <c r="R58" s="212"/>
      <c r="S58" s="487"/>
      <c r="T58" s="487"/>
      <c r="U58" s="487"/>
      <c r="V58" s="371"/>
      <c r="W58" s="371"/>
      <c r="X58" s="255"/>
      <c r="Y58" s="257"/>
      <c r="Z58" s="254"/>
      <c r="AA58" s="210"/>
      <c r="AB58" s="210"/>
      <c r="AC58" s="210"/>
      <c r="AD58" t="s">
        <v>163</v>
      </c>
    </row>
    <row r="59" spans="1:30" ht="17.25" thickBot="1" x14ac:dyDescent="0.35">
      <c r="A59" s="196"/>
      <c r="B59" s="231"/>
      <c r="C59" s="217"/>
      <c r="D59" s="217"/>
      <c r="E59" s="217"/>
      <c r="F59" s="262"/>
      <c r="G59" s="262"/>
      <c r="H59" s="263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358"/>
      <c r="W59" s="358"/>
      <c r="X59" s="332"/>
      <c r="Y59" s="233"/>
      <c r="Z59" s="219"/>
      <c r="AA59" s="202"/>
      <c r="AB59" s="202"/>
      <c r="AC59" s="202"/>
      <c r="AD59" t="s">
        <v>163</v>
      </c>
    </row>
    <row r="60" spans="1:30" ht="17.25" thickBot="1" x14ac:dyDescent="0.35">
      <c r="A60" s="196"/>
      <c r="B60" s="265"/>
      <c r="C60" s="265"/>
      <c r="D60" s="265"/>
      <c r="E60" s="265"/>
      <c r="F60" s="264"/>
      <c r="G60" s="264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450"/>
      <c r="W60" s="359"/>
      <c r="X60" s="333"/>
      <c r="Y60" s="219"/>
      <c r="Z60" s="219"/>
      <c r="AA60" s="202"/>
      <c r="AB60" s="202"/>
      <c r="AC60" s="202"/>
      <c r="AD60" t="s">
        <v>163</v>
      </c>
    </row>
    <row r="61" spans="1:30" ht="16.5" x14ac:dyDescent="0.3">
      <c r="A61" s="196"/>
      <c r="B61" s="220"/>
      <c r="C61" s="223"/>
      <c r="D61" s="223"/>
      <c r="E61" s="223"/>
      <c r="F61" s="222"/>
      <c r="G61" s="222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360"/>
      <c r="W61" s="360"/>
      <c r="X61" s="224"/>
      <c r="Y61" s="226"/>
      <c r="Z61" s="219"/>
      <c r="AA61" s="202"/>
      <c r="AB61" s="202"/>
      <c r="AC61" s="202"/>
      <c r="AD61" t="s">
        <v>163</v>
      </c>
    </row>
    <row r="62" spans="1:30" ht="53.25" customHeight="1" x14ac:dyDescent="0.3">
      <c r="A62" s="196"/>
      <c r="B62" s="197"/>
      <c r="C62" s="184"/>
      <c r="D62" s="184"/>
      <c r="E62" s="184"/>
      <c r="F62" s="199"/>
      <c r="G62" s="199"/>
      <c r="H62" s="200"/>
      <c r="I62" s="200"/>
      <c r="J62" s="485"/>
      <c r="K62" s="485"/>
      <c r="L62" s="485"/>
      <c r="M62" s="485"/>
      <c r="N62" s="485"/>
      <c r="O62" s="485"/>
      <c r="P62" s="485"/>
      <c r="Q62" s="485"/>
      <c r="R62" s="200"/>
      <c r="S62" s="485"/>
      <c r="T62" s="485"/>
      <c r="U62" s="485"/>
      <c r="V62" s="357"/>
      <c r="W62" s="357"/>
      <c r="X62" s="327" t="s">
        <v>459</v>
      </c>
      <c r="Y62" s="266"/>
      <c r="Z62" s="219"/>
      <c r="AA62" s="202"/>
      <c r="AB62" s="202"/>
      <c r="AC62" s="202"/>
      <c r="AD62" t="s">
        <v>163</v>
      </c>
    </row>
    <row r="63" spans="1:30" ht="16.5" x14ac:dyDescent="0.3">
      <c r="A63" s="196"/>
      <c r="B63" s="197"/>
      <c r="C63" s="184"/>
      <c r="D63" s="184"/>
      <c r="E63" s="184"/>
      <c r="F63" s="199"/>
      <c r="G63" s="199"/>
      <c r="H63" s="200"/>
      <c r="I63" s="200"/>
      <c r="J63" s="485"/>
      <c r="K63" s="485"/>
      <c r="L63" s="485"/>
      <c r="M63" s="485"/>
      <c r="N63" s="485"/>
      <c r="O63" s="485"/>
      <c r="P63" s="485"/>
      <c r="Q63" s="485"/>
      <c r="R63" s="200"/>
      <c r="S63" s="485"/>
      <c r="T63" s="485"/>
      <c r="U63" s="485"/>
      <c r="V63" s="357"/>
      <c r="W63" s="357"/>
      <c r="X63" s="185"/>
      <c r="Y63" s="201"/>
      <c r="Z63" s="219"/>
      <c r="AA63" s="202"/>
      <c r="AB63" s="202"/>
      <c r="AC63" s="202"/>
      <c r="AD63" t="s">
        <v>163</v>
      </c>
    </row>
    <row r="64" spans="1:30" ht="16.5" x14ac:dyDescent="0.3">
      <c r="A64" s="196"/>
      <c r="B64" s="197"/>
      <c r="C64" s="184"/>
      <c r="D64" s="184"/>
      <c r="E64" s="184"/>
      <c r="F64" s="199"/>
      <c r="G64" s="199"/>
      <c r="H64" s="200"/>
      <c r="I64" s="200"/>
      <c r="J64" s="485"/>
      <c r="K64" s="485"/>
      <c r="L64" s="485"/>
      <c r="M64" s="485"/>
      <c r="N64" s="485"/>
      <c r="O64" s="485"/>
      <c r="P64" s="485"/>
      <c r="Q64" s="485"/>
      <c r="R64" s="200"/>
      <c r="S64" s="485"/>
      <c r="T64" s="485"/>
      <c r="U64" s="485"/>
      <c r="V64" s="357"/>
      <c r="W64" s="357"/>
      <c r="X64" s="185"/>
      <c r="Y64" s="201"/>
      <c r="Z64" s="219"/>
      <c r="AA64" s="202"/>
      <c r="AB64" s="202"/>
      <c r="AC64" s="202"/>
    </row>
    <row r="65" spans="1:30" ht="58.5" customHeight="1" x14ac:dyDescent="0.3">
      <c r="A65" s="180"/>
      <c r="B65" s="181"/>
      <c r="C65" s="184"/>
      <c r="D65" s="184"/>
      <c r="E65" s="184"/>
      <c r="F65" s="191"/>
      <c r="G65" s="191"/>
      <c r="H65" s="253" t="s">
        <v>589</v>
      </c>
      <c r="I65" s="461" t="s">
        <v>584</v>
      </c>
      <c r="J65" s="461" t="s">
        <v>593</v>
      </c>
      <c r="K65" s="461" t="s">
        <v>594</v>
      </c>
      <c r="L65" s="461" t="s">
        <v>595</v>
      </c>
      <c r="M65" s="461" t="s">
        <v>596</v>
      </c>
      <c r="N65" s="461" t="s">
        <v>597</v>
      </c>
      <c r="O65" s="461" t="s">
        <v>598</v>
      </c>
      <c r="P65" s="461" t="s">
        <v>599</v>
      </c>
      <c r="Q65" s="461" t="s">
        <v>600</v>
      </c>
      <c r="R65" s="492" t="s">
        <v>601</v>
      </c>
      <c r="S65" s="461" t="s">
        <v>590</v>
      </c>
      <c r="T65" s="461" t="s">
        <v>591</v>
      </c>
      <c r="U65" s="461" t="s">
        <v>592</v>
      </c>
      <c r="V65" s="457" t="s">
        <v>585</v>
      </c>
      <c r="W65" s="356" t="s">
        <v>586</v>
      </c>
      <c r="X65" s="331" t="s">
        <v>348</v>
      </c>
      <c r="Y65" s="252"/>
      <c r="Z65" s="194"/>
      <c r="AA65" s="195" t="s">
        <v>351</v>
      </c>
      <c r="AB65" s="188"/>
      <c r="AC65" s="188"/>
      <c r="AD65" t="s">
        <v>163</v>
      </c>
    </row>
    <row r="66" spans="1:30" ht="16.5" x14ac:dyDescent="0.3">
      <c r="A66" s="196"/>
      <c r="B66" s="197"/>
      <c r="C66" s="207" t="s">
        <v>230</v>
      </c>
      <c r="D66" s="198"/>
      <c r="E66" s="198"/>
      <c r="F66" s="198"/>
      <c r="G66" s="199"/>
      <c r="H66" s="200"/>
      <c r="I66" s="200"/>
      <c r="J66" s="485"/>
      <c r="K66" s="485"/>
      <c r="L66" s="485"/>
      <c r="M66" s="485"/>
      <c r="N66" s="485"/>
      <c r="O66" s="485"/>
      <c r="P66" s="485"/>
      <c r="Q66" s="485"/>
      <c r="R66" s="200"/>
      <c r="S66" s="485"/>
      <c r="T66" s="485"/>
      <c r="U66" s="485"/>
      <c r="V66" s="368"/>
      <c r="W66" s="368"/>
      <c r="X66" s="203"/>
      <c r="Y66" s="201"/>
      <c r="Z66" s="219"/>
      <c r="AA66" s="202"/>
      <c r="AB66" s="202"/>
      <c r="AC66" s="202"/>
      <c r="AD66" t="s">
        <v>163</v>
      </c>
    </row>
    <row r="67" spans="1:30" ht="16.5" x14ac:dyDescent="0.3">
      <c r="A67" s="196"/>
      <c r="B67" s="197"/>
      <c r="C67" s="198"/>
      <c r="D67" s="198" t="s">
        <v>228</v>
      </c>
      <c r="E67" s="198"/>
      <c r="F67" s="198"/>
      <c r="G67" s="199"/>
      <c r="H67" s="200"/>
      <c r="I67" s="200"/>
      <c r="J67" s="485"/>
      <c r="K67" s="485"/>
      <c r="L67" s="485"/>
      <c r="M67" s="485"/>
      <c r="N67" s="485"/>
      <c r="O67" s="485"/>
      <c r="P67" s="485"/>
      <c r="Q67" s="485"/>
      <c r="R67" s="200"/>
      <c r="S67" s="485"/>
      <c r="T67" s="485"/>
      <c r="U67" s="485"/>
      <c r="V67" s="368"/>
      <c r="W67" s="368"/>
      <c r="X67" s="203"/>
      <c r="Y67" s="201"/>
      <c r="Z67" s="219"/>
      <c r="AA67" s="202"/>
      <c r="AB67" s="202"/>
      <c r="AC67" s="202"/>
      <c r="AD67" t="s">
        <v>163</v>
      </c>
    </row>
    <row r="68" spans="1:30" ht="16.5" x14ac:dyDescent="0.3">
      <c r="A68" s="196"/>
      <c r="B68" s="197"/>
      <c r="C68" s="198"/>
      <c r="D68" s="198"/>
      <c r="E68" s="198" t="s">
        <v>231</v>
      </c>
      <c r="F68" s="198"/>
      <c r="G68" s="199" t="s">
        <v>229</v>
      </c>
      <c r="H68" s="478"/>
      <c r="I68" s="200"/>
      <c r="J68" s="485"/>
      <c r="K68" s="485"/>
      <c r="L68" s="485"/>
      <c r="M68" s="485"/>
      <c r="N68" s="485"/>
      <c r="O68" s="485"/>
      <c r="P68" s="485"/>
      <c r="Q68" s="485"/>
      <c r="R68" s="200"/>
      <c r="S68" s="485"/>
      <c r="T68" s="485"/>
      <c r="U68" s="485"/>
      <c r="V68" s="368"/>
      <c r="W68" s="368"/>
      <c r="X68" s="255"/>
      <c r="Y68" s="187"/>
      <c r="Z68" s="436" t="s">
        <v>572</v>
      </c>
      <c r="AA68" s="202"/>
      <c r="AB68" s="202"/>
      <c r="AC68" s="202"/>
      <c r="AD68" t="s">
        <v>163</v>
      </c>
    </row>
    <row r="69" spans="1:30" ht="16.5" x14ac:dyDescent="0.3">
      <c r="A69" s="196"/>
      <c r="B69" s="197"/>
      <c r="C69" s="198"/>
      <c r="D69" s="198"/>
      <c r="E69" s="198" t="s">
        <v>588</v>
      </c>
      <c r="F69" s="198"/>
      <c r="G69" s="199">
        <v>43</v>
      </c>
      <c r="H69" s="478">
        <f>234040+131000</f>
        <v>365040</v>
      </c>
      <c r="I69" s="479">
        <v>8719</v>
      </c>
      <c r="J69" s="485">
        <v>0</v>
      </c>
      <c r="K69" s="485">
        <v>27403.26</v>
      </c>
      <c r="L69" s="485">
        <v>0</v>
      </c>
      <c r="M69" s="485">
        <v>0</v>
      </c>
      <c r="N69" s="485">
        <v>3000</v>
      </c>
      <c r="O69" s="485">
        <v>29754</v>
      </c>
      <c r="P69" s="485">
        <v>0</v>
      </c>
      <c r="Q69" s="485">
        <v>0</v>
      </c>
      <c r="R69" s="487">
        <f>+I69+J69+K69+L69+M69+N69+O69+P69+Q69</f>
        <v>68876.259999999995</v>
      </c>
      <c r="S69" s="485">
        <v>10000</v>
      </c>
      <c r="T69" s="485">
        <v>70785</v>
      </c>
      <c r="U69" s="485">
        <v>10000</v>
      </c>
      <c r="V69" s="485">
        <f>+R69+S69+T69+U69</f>
        <v>159661.26</v>
      </c>
      <c r="W69" s="368">
        <f>+H69-V69</f>
        <v>205378.74</v>
      </c>
      <c r="X69" s="255">
        <f>+W69/H69</f>
        <v>0.56261982248520703</v>
      </c>
      <c r="Y69" s="187"/>
      <c r="Z69" s="254"/>
      <c r="AA69" s="202"/>
      <c r="AB69" s="202"/>
      <c r="AC69" s="202"/>
      <c r="AD69" t="s">
        <v>163</v>
      </c>
    </row>
    <row r="70" spans="1:30" ht="16.5" x14ac:dyDescent="0.3">
      <c r="A70" s="196"/>
      <c r="B70" s="197"/>
      <c r="C70" s="198"/>
      <c r="D70" s="198"/>
      <c r="E70" s="198" t="s">
        <v>322</v>
      </c>
      <c r="F70" s="198"/>
      <c r="G70" s="199" t="s">
        <v>323</v>
      </c>
      <c r="H70" s="463">
        <v>334960</v>
      </c>
      <c r="I70" s="479">
        <v>0</v>
      </c>
      <c r="J70" s="485">
        <v>0</v>
      </c>
      <c r="K70" s="485"/>
      <c r="L70" s="204">
        <v>0</v>
      </c>
      <c r="M70" s="204">
        <v>0</v>
      </c>
      <c r="N70" s="204">
        <f>9747.09+237252.91</f>
        <v>247000</v>
      </c>
      <c r="O70" s="204">
        <v>87930</v>
      </c>
      <c r="P70" s="204">
        <v>0</v>
      </c>
      <c r="Q70" s="204">
        <v>0</v>
      </c>
      <c r="R70" s="488">
        <f>+I70+J70+K70+L70+M70+N70+O70+P70+Q70</f>
        <v>334930</v>
      </c>
      <c r="S70" s="485"/>
      <c r="T70" s="485">
        <v>70000</v>
      </c>
      <c r="U70" s="485"/>
      <c r="V70" s="204">
        <f t="shared" ref="V70:V71" si="7">+R70+S70+T70+U70</f>
        <v>404930</v>
      </c>
      <c r="W70" s="483">
        <f>+H70-V70</f>
        <v>-69970</v>
      </c>
      <c r="X70" s="484">
        <f>+W70/H70</f>
        <v>-0.20889061380463339</v>
      </c>
      <c r="Y70" s="187"/>
      <c r="Z70" s="254"/>
      <c r="AA70" s="202"/>
      <c r="AB70" s="202"/>
      <c r="AC70" s="202"/>
      <c r="AD70" t="s">
        <v>163</v>
      </c>
    </row>
    <row r="71" spans="1:30" ht="16.5" x14ac:dyDescent="0.3">
      <c r="A71" s="196"/>
      <c r="B71" s="197"/>
      <c r="C71" s="198"/>
      <c r="D71" s="207" t="s">
        <v>324</v>
      </c>
      <c r="E71" s="207"/>
      <c r="F71" s="207"/>
      <c r="G71" s="213">
        <v>4</v>
      </c>
      <c r="H71" s="477">
        <f>SUM(H69:H70)</f>
        <v>700000</v>
      </c>
      <c r="I71" s="480">
        <f>SUM(I69:I70)</f>
        <v>8719</v>
      </c>
      <c r="J71" s="486">
        <f t="shared" ref="J71:Q71" si="8">SUM(J69:J70)</f>
        <v>0</v>
      </c>
      <c r="K71" s="486">
        <f t="shared" si="8"/>
        <v>27403.26</v>
      </c>
      <c r="L71" s="486">
        <f t="shared" si="8"/>
        <v>0</v>
      </c>
      <c r="M71" s="486">
        <f t="shared" si="8"/>
        <v>0</v>
      </c>
      <c r="N71" s="486">
        <f t="shared" si="8"/>
        <v>250000</v>
      </c>
      <c r="O71" s="486">
        <f t="shared" si="8"/>
        <v>117684</v>
      </c>
      <c r="P71" s="486">
        <f t="shared" si="8"/>
        <v>0</v>
      </c>
      <c r="Q71" s="486">
        <f t="shared" si="8"/>
        <v>0</v>
      </c>
      <c r="R71" s="487">
        <f>+I71+J71+K71+L71+M71+N71+O71+P71+Q71</f>
        <v>403806.26</v>
      </c>
      <c r="S71" s="486">
        <f t="shared" ref="S71:T71" si="9">SUM(S69:S70)</f>
        <v>10000</v>
      </c>
      <c r="T71" s="486">
        <f t="shared" si="9"/>
        <v>140785</v>
      </c>
      <c r="U71" s="486">
        <f>+U69+U70</f>
        <v>10000</v>
      </c>
      <c r="V71" s="485">
        <f t="shared" si="7"/>
        <v>564591.26</v>
      </c>
      <c r="W71" s="482">
        <f>+H71-V71</f>
        <v>135408.74</v>
      </c>
      <c r="X71" s="481">
        <f>+W71/H71</f>
        <v>0.19344105714285714</v>
      </c>
      <c r="Y71" s="187"/>
      <c r="Z71" s="254"/>
      <c r="AA71" s="202"/>
      <c r="AB71" s="202"/>
      <c r="AC71" s="202"/>
      <c r="AD71" t="s">
        <v>163</v>
      </c>
    </row>
    <row r="72" spans="1:30" ht="16.5" x14ac:dyDescent="0.3">
      <c r="A72" s="196"/>
      <c r="B72" s="197"/>
      <c r="C72" s="198"/>
      <c r="D72" s="207"/>
      <c r="E72" s="207"/>
      <c r="F72" s="207"/>
      <c r="G72" s="213"/>
      <c r="H72" s="200"/>
      <c r="I72" s="479"/>
      <c r="J72" s="485"/>
      <c r="K72" s="485"/>
      <c r="L72" s="485"/>
      <c r="M72" s="485"/>
      <c r="N72" s="485"/>
      <c r="O72" s="485"/>
      <c r="P72" s="485"/>
      <c r="Q72" s="485"/>
      <c r="R72" s="200"/>
      <c r="S72" s="485"/>
      <c r="T72" s="485"/>
      <c r="U72" s="485"/>
      <c r="V72" s="368"/>
      <c r="W72" s="368"/>
      <c r="X72" s="203"/>
      <c r="Y72" s="187"/>
      <c r="Z72" s="254"/>
      <c r="AA72" s="202"/>
      <c r="AB72" s="202"/>
      <c r="AC72" s="202"/>
      <c r="AD72" t="s">
        <v>163</v>
      </c>
    </row>
    <row r="73" spans="1:30" ht="16.5" x14ac:dyDescent="0.3">
      <c r="A73" s="205"/>
      <c r="B73" s="206"/>
      <c r="C73" s="198"/>
      <c r="D73" s="198" t="s">
        <v>235</v>
      </c>
      <c r="E73" s="207"/>
      <c r="F73" s="207"/>
      <c r="G73" s="213"/>
      <c r="H73" s="200"/>
      <c r="I73" s="200"/>
      <c r="J73" s="485"/>
      <c r="K73" s="485"/>
      <c r="L73" s="485"/>
      <c r="M73" s="485"/>
      <c r="N73" s="485"/>
      <c r="O73" s="485"/>
      <c r="P73" s="485"/>
      <c r="Q73" s="485"/>
      <c r="R73" s="200"/>
      <c r="S73" s="485"/>
      <c r="T73" s="485"/>
      <c r="U73" s="485"/>
      <c r="V73" s="368"/>
      <c r="W73" s="368"/>
      <c r="X73" s="203"/>
      <c r="Y73" s="187"/>
      <c r="Z73" s="254"/>
      <c r="AA73" s="210"/>
      <c r="AB73" s="210"/>
      <c r="AC73" s="210"/>
      <c r="AD73" t="s">
        <v>163</v>
      </c>
    </row>
    <row r="74" spans="1:30" ht="16.5" x14ac:dyDescent="0.3">
      <c r="A74" s="205"/>
      <c r="B74" s="206"/>
      <c r="C74" s="198"/>
      <c r="D74" s="198"/>
      <c r="E74" s="198" t="s">
        <v>238</v>
      </c>
      <c r="F74" s="198"/>
      <c r="G74" s="199">
        <v>52</v>
      </c>
      <c r="H74" s="200">
        <v>0</v>
      </c>
      <c r="I74" s="200">
        <v>0</v>
      </c>
      <c r="J74" s="485">
        <v>0</v>
      </c>
      <c r="K74" s="485">
        <v>0</v>
      </c>
      <c r="L74" s="485"/>
      <c r="M74" s="485"/>
      <c r="N74" s="485"/>
      <c r="O74" s="485"/>
      <c r="P74" s="485"/>
      <c r="Q74" s="485"/>
      <c r="R74" s="200">
        <v>0</v>
      </c>
      <c r="S74" s="485">
        <v>0</v>
      </c>
      <c r="T74" s="485">
        <v>0</v>
      </c>
      <c r="U74" s="485">
        <v>0</v>
      </c>
      <c r="V74" s="368">
        <v>0</v>
      </c>
      <c r="W74" s="368">
        <v>0</v>
      </c>
      <c r="X74" s="255" t="s">
        <v>488</v>
      </c>
      <c r="Y74" s="187"/>
      <c r="Z74" s="254"/>
      <c r="AA74" s="210"/>
      <c r="AB74" s="210"/>
      <c r="AC74" s="210"/>
      <c r="AD74" t="s">
        <v>163</v>
      </c>
    </row>
    <row r="75" spans="1:30" ht="16.5" x14ac:dyDescent="0.3">
      <c r="A75" s="205"/>
      <c r="B75" s="206"/>
      <c r="C75" s="198"/>
      <c r="D75" s="198"/>
      <c r="E75" s="388" t="s">
        <v>243</v>
      </c>
      <c r="F75" s="198"/>
      <c r="G75" s="199"/>
      <c r="H75" s="200">
        <v>0</v>
      </c>
      <c r="I75" s="200">
        <v>0</v>
      </c>
      <c r="J75" s="485">
        <v>0</v>
      </c>
      <c r="K75" s="485">
        <v>0</v>
      </c>
      <c r="L75" s="485"/>
      <c r="M75" s="485"/>
      <c r="N75" s="485"/>
      <c r="O75" s="485"/>
      <c r="P75" s="485"/>
      <c r="Q75" s="485"/>
      <c r="R75" s="200">
        <v>0</v>
      </c>
      <c r="S75" s="485">
        <v>0</v>
      </c>
      <c r="T75" s="485">
        <v>0</v>
      </c>
      <c r="U75" s="485">
        <v>0</v>
      </c>
      <c r="V75" s="368">
        <v>0</v>
      </c>
      <c r="W75" s="368">
        <v>0</v>
      </c>
      <c r="X75" s="255" t="s">
        <v>488</v>
      </c>
      <c r="Y75" s="187"/>
      <c r="Z75" s="254"/>
      <c r="AA75" s="210"/>
      <c r="AB75" s="210"/>
      <c r="AC75" s="210"/>
    </row>
    <row r="76" spans="1:30" ht="16.5" x14ac:dyDescent="0.3">
      <c r="A76" s="205"/>
      <c r="B76" s="206"/>
      <c r="C76" s="198"/>
      <c r="D76" s="198"/>
      <c r="E76" s="198" t="s">
        <v>220</v>
      </c>
      <c r="F76" s="198"/>
      <c r="G76" s="199" t="s">
        <v>325</v>
      </c>
      <c r="H76" s="200">
        <v>0</v>
      </c>
      <c r="I76" s="200">
        <v>0</v>
      </c>
      <c r="J76" s="485">
        <v>0</v>
      </c>
      <c r="K76" s="485">
        <v>0</v>
      </c>
      <c r="L76" s="485"/>
      <c r="M76" s="485"/>
      <c r="N76" s="485"/>
      <c r="O76" s="485"/>
      <c r="P76" s="485"/>
      <c r="Q76" s="485"/>
      <c r="R76" s="200">
        <v>0</v>
      </c>
      <c r="S76" s="485">
        <v>0</v>
      </c>
      <c r="T76" s="485">
        <v>0</v>
      </c>
      <c r="U76" s="485">
        <v>0</v>
      </c>
      <c r="V76" s="368">
        <v>0</v>
      </c>
      <c r="W76" s="368">
        <v>0</v>
      </c>
      <c r="X76" s="255" t="s">
        <v>488</v>
      </c>
      <c r="Y76" s="187"/>
      <c r="Z76" s="254"/>
      <c r="AA76" s="210"/>
      <c r="AB76" s="210"/>
      <c r="AC76" s="210"/>
      <c r="AD76" t="s">
        <v>163</v>
      </c>
    </row>
    <row r="77" spans="1:30" ht="16.5" x14ac:dyDescent="0.3">
      <c r="A77" s="205"/>
      <c r="B77" s="206"/>
      <c r="C77" s="198"/>
      <c r="D77" s="198"/>
      <c r="E77" s="198" t="s">
        <v>247</v>
      </c>
      <c r="F77" s="198"/>
      <c r="G77" s="199">
        <v>58</v>
      </c>
      <c r="H77" s="200">
        <v>0</v>
      </c>
      <c r="I77" s="200">
        <v>0</v>
      </c>
      <c r="J77" s="485">
        <v>0</v>
      </c>
      <c r="K77" s="485">
        <v>0</v>
      </c>
      <c r="L77" s="485"/>
      <c r="M77" s="485"/>
      <c r="N77" s="485"/>
      <c r="O77" s="485"/>
      <c r="P77" s="485"/>
      <c r="Q77" s="485"/>
      <c r="R77" s="200">
        <v>0</v>
      </c>
      <c r="S77" s="485">
        <v>0</v>
      </c>
      <c r="T77" s="485">
        <v>0</v>
      </c>
      <c r="U77" s="485">
        <v>0</v>
      </c>
      <c r="V77" s="368">
        <v>0</v>
      </c>
      <c r="W77" s="368">
        <v>0</v>
      </c>
      <c r="X77" s="255" t="s">
        <v>488</v>
      </c>
      <c r="Y77" s="187"/>
      <c r="Z77" s="254"/>
      <c r="AA77" s="210"/>
      <c r="AB77" s="210"/>
      <c r="AC77" s="210"/>
      <c r="AD77" t="s">
        <v>163</v>
      </c>
    </row>
    <row r="78" spans="1:30" ht="16.5" x14ac:dyDescent="0.3">
      <c r="A78" s="196"/>
      <c r="B78" s="197"/>
      <c r="C78" s="198"/>
      <c r="D78" s="198"/>
      <c r="E78" s="198" t="s">
        <v>249</v>
      </c>
      <c r="F78" s="198"/>
      <c r="G78" s="199" t="s">
        <v>326</v>
      </c>
      <c r="H78" s="200">
        <v>0</v>
      </c>
      <c r="I78" s="200">
        <v>0</v>
      </c>
      <c r="J78" s="485">
        <v>0</v>
      </c>
      <c r="K78" s="485">
        <v>0</v>
      </c>
      <c r="L78" s="485"/>
      <c r="M78" s="485"/>
      <c r="N78" s="485"/>
      <c r="O78" s="485"/>
      <c r="P78" s="485"/>
      <c r="Q78" s="485"/>
      <c r="R78" s="200">
        <v>0</v>
      </c>
      <c r="S78" s="485">
        <v>0</v>
      </c>
      <c r="T78" s="485">
        <v>0</v>
      </c>
      <c r="U78" s="485">
        <v>0</v>
      </c>
      <c r="V78" s="368">
        <v>0</v>
      </c>
      <c r="W78" s="368">
        <v>0</v>
      </c>
      <c r="X78" s="255" t="s">
        <v>488</v>
      </c>
      <c r="Y78" s="201"/>
      <c r="Z78" s="219"/>
      <c r="AA78" s="202"/>
      <c r="AB78" s="202"/>
      <c r="AC78" s="202"/>
      <c r="AD78" t="s">
        <v>163</v>
      </c>
    </row>
    <row r="79" spans="1:30" ht="16.5" x14ac:dyDescent="0.3">
      <c r="A79" s="196"/>
      <c r="B79" s="197"/>
      <c r="C79" s="198"/>
      <c r="D79" s="207" t="s">
        <v>313</v>
      </c>
      <c r="E79" s="198"/>
      <c r="F79" s="198"/>
      <c r="G79" s="213"/>
      <c r="H79" s="208">
        <v>0</v>
      </c>
      <c r="I79" s="208">
        <v>0</v>
      </c>
      <c r="J79" s="486">
        <v>0</v>
      </c>
      <c r="K79" s="486">
        <v>0</v>
      </c>
      <c r="L79" s="486"/>
      <c r="M79" s="486"/>
      <c r="N79" s="486"/>
      <c r="O79" s="486"/>
      <c r="P79" s="486"/>
      <c r="Q79" s="486"/>
      <c r="R79" s="208">
        <v>0</v>
      </c>
      <c r="S79" s="486">
        <v>0</v>
      </c>
      <c r="T79" s="486">
        <v>0</v>
      </c>
      <c r="U79" s="486">
        <v>0</v>
      </c>
      <c r="V79" s="370">
        <v>0</v>
      </c>
      <c r="W79" s="370">
        <v>0</v>
      </c>
      <c r="X79" s="337" t="s">
        <v>488</v>
      </c>
      <c r="Y79" s="201"/>
      <c r="Z79" s="219"/>
      <c r="AA79" s="202"/>
      <c r="AB79" s="202"/>
      <c r="AC79" s="202"/>
      <c r="AD79" t="s">
        <v>163</v>
      </c>
    </row>
    <row r="80" spans="1:30" ht="16.5" x14ac:dyDescent="0.3">
      <c r="A80" s="196"/>
      <c r="B80" s="197"/>
      <c r="C80" s="198"/>
      <c r="D80" s="198"/>
      <c r="E80" s="198"/>
      <c r="F80" s="198"/>
      <c r="G80" s="213"/>
      <c r="H80" s="200"/>
      <c r="I80" s="200"/>
      <c r="J80" s="485"/>
      <c r="K80" s="485"/>
      <c r="L80" s="485"/>
      <c r="M80" s="485"/>
      <c r="N80" s="485"/>
      <c r="O80" s="485"/>
      <c r="P80" s="485"/>
      <c r="Q80" s="485"/>
      <c r="R80" s="200"/>
      <c r="S80" s="485"/>
      <c r="T80" s="485"/>
      <c r="U80" s="485"/>
      <c r="V80" s="368"/>
      <c r="W80" s="368"/>
      <c r="X80" s="203"/>
      <c r="Y80" s="201"/>
      <c r="Z80" s="219"/>
      <c r="AA80" s="202"/>
      <c r="AB80" s="202"/>
      <c r="AC80" s="202"/>
      <c r="AD80" t="s">
        <v>163</v>
      </c>
    </row>
    <row r="81" spans="1:30" ht="16.5" x14ac:dyDescent="0.3">
      <c r="A81" s="196"/>
      <c r="B81" s="197"/>
      <c r="C81" s="198"/>
      <c r="D81" s="198" t="s">
        <v>257</v>
      </c>
      <c r="E81" s="207"/>
      <c r="F81" s="207"/>
      <c r="G81" s="213"/>
      <c r="H81" s="200">
        <v>0</v>
      </c>
      <c r="I81" s="200">
        <v>0</v>
      </c>
      <c r="J81" s="485">
        <v>0</v>
      </c>
      <c r="K81" s="485">
        <v>0</v>
      </c>
      <c r="L81" s="485"/>
      <c r="M81" s="485"/>
      <c r="N81" s="485"/>
      <c r="O81" s="485"/>
      <c r="P81" s="485"/>
      <c r="Q81" s="485"/>
      <c r="R81" s="200">
        <v>0</v>
      </c>
      <c r="S81" s="485">
        <v>0</v>
      </c>
      <c r="T81" s="485">
        <v>0</v>
      </c>
      <c r="U81" s="485">
        <v>0</v>
      </c>
      <c r="V81" s="368">
        <v>0</v>
      </c>
      <c r="W81" s="368">
        <v>0</v>
      </c>
      <c r="X81" s="255" t="s">
        <v>488</v>
      </c>
      <c r="Y81" s="201"/>
      <c r="Z81" s="219"/>
      <c r="AA81" s="202"/>
      <c r="AB81" s="202"/>
      <c r="AC81" s="202"/>
      <c r="AD81" t="s">
        <v>163</v>
      </c>
    </row>
    <row r="82" spans="1:30" ht="16.5" x14ac:dyDescent="0.3">
      <c r="A82" s="196"/>
      <c r="B82" s="197"/>
      <c r="C82" s="198"/>
      <c r="D82" s="198"/>
      <c r="E82" s="207"/>
      <c r="F82" s="207"/>
      <c r="G82" s="213"/>
      <c r="H82" s="200"/>
      <c r="I82" s="200"/>
      <c r="J82" s="485"/>
      <c r="K82" s="485"/>
      <c r="L82" s="485"/>
      <c r="M82" s="485"/>
      <c r="N82" s="485"/>
      <c r="O82" s="485"/>
      <c r="P82" s="485"/>
      <c r="Q82" s="485"/>
      <c r="R82" s="200"/>
      <c r="S82" s="485"/>
      <c r="T82" s="485"/>
      <c r="U82" s="485"/>
      <c r="V82" s="368"/>
      <c r="W82" s="368"/>
      <c r="X82" s="255"/>
      <c r="Y82" s="201"/>
      <c r="Z82" s="219"/>
      <c r="AA82" s="202"/>
      <c r="AB82" s="202"/>
      <c r="AC82" s="202"/>
      <c r="AD82" t="s">
        <v>163</v>
      </c>
    </row>
    <row r="83" spans="1:30" ht="16.5" x14ac:dyDescent="0.3">
      <c r="A83" s="196"/>
      <c r="B83" s="197"/>
      <c r="C83" s="207" t="s">
        <v>258</v>
      </c>
      <c r="D83" s="207"/>
      <c r="E83" s="207"/>
      <c r="F83" s="229"/>
      <c r="G83" s="258"/>
      <c r="H83" s="208"/>
      <c r="I83" s="208"/>
      <c r="J83" s="486"/>
      <c r="K83" s="486"/>
      <c r="L83" s="486"/>
      <c r="M83" s="486"/>
      <c r="N83" s="486"/>
      <c r="O83" s="486"/>
      <c r="P83" s="486"/>
      <c r="Q83" s="486"/>
      <c r="R83" s="208"/>
      <c r="S83" s="486"/>
      <c r="T83" s="486"/>
      <c r="U83" s="486"/>
      <c r="V83" s="370"/>
      <c r="W83" s="370"/>
      <c r="X83" s="337"/>
      <c r="Y83" s="201"/>
      <c r="Z83" s="219"/>
      <c r="AA83" s="202"/>
      <c r="AB83" s="202"/>
      <c r="AC83" s="202"/>
      <c r="AD83" t="s">
        <v>163</v>
      </c>
    </row>
    <row r="84" spans="1:30" ht="16.5" x14ac:dyDescent="0.3">
      <c r="A84" s="205"/>
      <c r="B84" s="206"/>
      <c r="C84" s="207"/>
      <c r="D84" s="198"/>
      <c r="E84" s="207"/>
      <c r="F84" s="207"/>
      <c r="G84" s="213"/>
      <c r="H84" s="382"/>
      <c r="I84" s="382"/>
      <c r="J84" s="488"/>
      <c r="K84" s="488"/>
      <c r="L84" s="488"/>
      <c r="M84" s="488"/>
      <c r="N84" s="488"/>
      <c r="O84" s="488"/>
      <c r="P84" s="488"/>
      <c r="Q84" s="488"/>
      <c r="R84" s="382"/>
      <c r="S84" s="488"/>
      <c r="T84" s="488"/>
      <c r="U84" s="488"/>
      <c r="V84" s="383"/>
      <c r="W84" s="383"/>
      <c r="X84" s="384"/>
      <c r="Y84" s="201"/>
      <c r="Z84" s="219"/>
      <c r="AA84" s="210"/>
      <c r="AB84" s="210"/>
      <c r="AC84" s="210"/>
      <c r="AD84" t="s">
        <v>163</v>
      </c>
    </row>
    <row r="85" spans="1:30" ht="16.5" x14ac:dyDescent="0.3">
      <c r="A85" s="205"/>
      <c r="B85" s="206"/>
      <c r="C85" s="308" t="s">
        <v>481</v>
      </c>
      <c r="D85" s="308"/>
      <c r="E85" s="308"/>
      <c r="F85" s="308"/>
      <c r="G85" s="309"/>
      <c r="H85" s="325"/>
      <c r="I85" s="325"/>
      <c r="J85" s="325"/>
      <c r="K85" s="325"/>
      <c r="L85" s="325"/>
      <c r="M85" s="325"/>
      <c r="N85" s="325"/>
      <c r="O85" s="325"/>
      <c r="P85" s="325"/>
      <c r="Q85" s="325"/>
      <c r="R85" s="325"/>
      <c r="S85" s="325"/>
      <c r="T85" s="325"/>
      <c r="U85" s="325"/>
      <c r="V85" s="372"/>
      <c r="W85" s="372"/>
      <c r="X85" s="336"/>
      <c r="Y85" s="201"/>
      <c r="Z85" s="219"/>
      <c r="AA85" s="210"/>
      <c r="AB85" s="210"/>
      <c r="AC85" s="210"/>
      <c r="AD85" t="s">
        <v>163</v>
      </c>
    </row>
    <row r="86" spans="1:30" ht="16.5" x14ac:dyDescent="0.3">
      <c r="A86" s="205"/>
      <c r="B86" s="206"/>
      <c r="C86" s="198"/>
      <c r="D86" s="198"/>
      <c r="E86" s="198"/>
      <c r="F86" s="198"/>
      <c r="G86" s="199"/>
      <c r="H86" s="200"/>
      <c r="I86" s="200"/>
      <c r="J86" s="485"/>
      <c r="K86" s="485"/>
      <c r="L86" s="485"/>
      <c r="M86" s="485"/>
      <c r="N86" s="485"/>
      <c r="O86" s="485"/>
      <c r="P86" s="485"/>
      <c r="Q86" s="485"/>
      <c r="R86" s="200"/>
      <c r="S86" s="485"/>
      <c r="T86" s="485"/>
      <c r="U86" s="485"/>
      <c r="V86" s="368"/>
      <c r="W86" s="368"/>
      <c r="X86" s="203"/>
      <c r="Y86" s="201"/>
      <c r="Z86" s="219"/>
      <c r="AA86" s="210"/>
      <c r="AB86" s="210"/>
      <c r="AC86" s="210"/>
      <c r="AD86" t="s">
        <v>163</v>
      </c>
    </row>
    <row r="87" spans="1:30" ht="16.5" x14ac:dyDescent="0.3">
      <c r="A87" s="196"/>
      <c r="B87" s="197"/>
      <c r="C87" s="269" t="s">
        <v>178</v>
      </c>
      <c r="D87" s="348"/>
      <c r="E87" s="198"/>
      <c r="F87" s="198"/>
      <c r="G87" s="320">
        <v>22.2</v>
      </c>
      <c r="H87" s="344"/>
      <c r="I87" s="200"/>
      <c r="J87" s="485">
        <f>19000+53000</f>
        <v>72000</v>
      </c>
      <c r="K87" s="485">
        <v>14300</v>
      </c>
      <c r="L87" s="485">
        <v>0</v>
      </c>
      <c r="M87" s="485">
        <f>20000+215000</f>
        <v>235000</v>
      </c>
      <c r="N87" s="485">
        <v>0</v>
      </c>
      <c r="O87" s="485">
        <v>0</v>
      </c>
      <c r="P87" s="485">
        <v>209000</v>
      </c>
      <c r="Q87" s="485">
        <v>0</v>
      </c>
      <c r="R87" s="200">
        <f>+I87+J87+K87+L87+M87+N87+O87+P87+Q87</f>
        <v>530300</v>
      </c>
      <c r="S87" s="485"/>
      <c r="T87" s="485"/>
      <c r="U87" s="485"/>
      <c r="V87" s="368"/>
      <c r="W87" s="368"/>
      <c r="X87" s="255"/>
      <c r="Y87" s="187"/>
      <c r="Z87" s="254"/>
      <c r="AA87" s="202"/>
      <c r="AB87" s="202"/>
      <c r="AC87" s="202"/>
      <c r="AD87" t="s">
        <v>163</v>
      </c>
    </row>
    <row r="88" spans="1:30" ht="16.5" x14ac:dyDescent="0.3">
      <c r="A88" s="196"/>
      <c r="B88" s="197"/>
      <c r="C88" s="269" t="s">
        <v>182</v>
      </c>
      <c r="D88" s="348"/>
      <c r="E88" s="198"/>
      <c r="F88" s="198"/>
      <c r="G88" s="320">
        <v>22.4</v>
      </c>
      <c r="H88" s="344"/>
      <c r="I88" s="200"/>
      <c r="J88" s="485"/>
      <c r="K88" s="485"/>
      <c r="L88" s="485"/>
      <c r="M88" s="485"/>
      <c r="N88" s="485"/>
      <c r="O88" s="485"/>
      <c r="P88" s="485"/>
      <c r="Q88" s="485"/>
      <c r="R88" s="200"/>
      <c r="S88" s="485"/>
      <c r="T88" s="485"/>
      <c r="U88" s="485"/>
      <c r="V88" s="368"/>
      <c r="W88" s="368"/>
      <c r="X88" s="255"/>
      <c r="Y88" s="187"/>
      <c r="Z88" s="254"/>
      <c r="AA88" s="202"/>
      <c r="AB88" s="202"/>
      <c r="AC88" s="202"/>
      <c r="AD88" t="s">
        <v>163</v>
      </c>
    </row>
    <row r="89" spans="1:30" ht="16.5" x14ac:dyDescent="0.3">
      <c r="A89" s="196"/>
      <c r="B89" s="197"/>
      <c r="C89" s="269" t="s">
        <v>184</v>
      </c>
      <c r="D89" s="348"/>
      <c r="E89" s="198"/>
      <c r="F89" s="198"/>
      <c r="G89" s="320">
        <v>22.1</v>
      </c>
      <c r="H89" s="437"/>
      <c r="I89" s="200"/>
      <c r="J89" s="485"/>
      <c r="K89" s="485"/>
      <c r="L89" s="485"/>
      <c r="M89" s="485"/>
      <c r="N89" s="485"/>
      <c r="O89" s="485"/>
      <c r="P89" s="485"/>
      <c r="Q89" s="485"/>
      <c r="R89" s="200"/>
      <c r="S89" s="485"/>
      <c r="T89" s="485"/>
      <c r="U89" s="485"/>
      <c r="V89" s="368"/>
      <c r="W89" s="377"/>
      <c r="X89" s="255"/>
      <c r="Y89" s="187"/>
      <c r="Z89" s="254"/>
      <c r="AA89" s="202"/>
      <c r="AB89" s="202"/>
      <c r="AC89" s="202"/>
      <c r="AD89" t="s">
        <v>163</v>
      </c>
    </row>
    <row r="90" spans="1:30" ht="16.5" x14ac:dyDescent="0.3">
      <c r="A90" s="205"/>
      <c r="B90" s="206"/>
      <c r="C90" s="207" t="s">
        <v>309</v>
      </c>
      <c r="D90" s="198"/>
      <c r="E90" s="207"/>
      <c r="F90" s="230"/>
      <c r="G90" s="259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378"/>
      <c r="W90" s="371"/>
      <c r="X90" s="337"/>
      <c r="Y90" s="201"/>
      <c r="Z90" s="219"/>
      <c r="AA90" s="210"/>
      <c r="AB90" s="210"/>
      <c r="AC90" s="210"/>
      <c r="AD90" t="s">
        <v>163</v>
      </c>
    </row>
    <row r="91" spans="1:30" ht="16.5" x14ac:dyDescent="0.3">
      <c r="A91" s="205"/>
      <c r="B91" s="206"/>
      <c r="C91" s="207"/>
      <c r="D91" s="198"/>
      <c r="E91" s="207"/>
      <c r="F91" s="207"/>
      <c r="G91" s="213"/>
      <c r="H91" s="200"/>
      <c r="I91" s="200"/>
      <c r="J91" s="485"/>
      <c r="K91" s="485"/>
      <c r="L91" s="485"/>
      <c r="M91" s="485"/>
      <c r="N91" s="485"/>
      <c r="O91" s="485"/>
      <c r="P91" s="485"/>
      <c r="Q91" s="485"/>
      <c r="R91" s="200"/>
      <c r="S91" s="485"/>
      <c r="T91" s="485"/>
      <c r="U91" s="485"/>
      <c r="V91" s="368"/>
      <c r="W91" s="368"/>
      <c r="X91" s="203"/>
      <c r="Y91" s="201"/>
      <c r="Z91" s="219"/>
      <c r="AA91" s="210"/>
      <c r="AB91" s="210"/>
      <c r="AC91" s="210"/>
      <c r="AD91" t="s">
        <v>163</v>
      </c>
    </row>
    <row r="92" spans="1:30" ht="16.5" x14ac:dyDescent="0.3">
      <c r="A92" s="205"/>
      <c r="B92" s="206"/>
      <c r="C92" s="308" t="s">
        <v>482</v>
      </c>
      <c r="D92" s="227"/>
      <c r="E92" s="308"/>
      <c r="F92" s="308"/>
      <c r="G92" s="309"/>
      <c r="H92" s="319">
        <f>+H87+H45-H41-H71</f>
        <v>-700000</v>
      </c>
      <c r="I92" s="319">
        <f>+I87+I45-I41-I71</f>
        <v>-26623656.719999999</v>
      </c>
      <c r="J92" s="319">
        <f t="shared" ref="J92:V92" si="10">+J87+J45-J41-J71</f>
        <v>2555947.5800000019</v>
      </c>
      <c r="K92" s="319">
        <f t="shared" si="10"/>
        <v>-10322024.559999997</v>
      </c>
      <c r="L92" s="319">
        <f t="shared" si="10"/>
        <v>2244762.129999999</v>
      </c>
      <c r="M92" s="319">
        <f t="shared" si="10"/>
        <v>9410631.4699999988</v>
      </c>
      <c r="N92" s="319">
        <f t="shared" si="10"/>
        <v>-16588056.75</v>
      </c>
      <c r="O92" s="319">
        <f t="shared" si="10"/>
        <v>16728031.600000001</v>
      </c>
      <c r="P92" s="319">
        <f t="shared" si="10"/>
        <v>-8821307.3299999982</v>
      </c>
      <c r="Q92" s="319"/>
      <c r="R92" s="319">
        <f t="shared" si="10"/>
        <v>-26244377.050000023</v>
      </c>
      <c r="S92" s="319">
        <f t="shared" si="10"/>
        <v>-30933793</v>
      </c>
      <c r="T92" s="319">
        <f t="shared" si="10"/>
        <v>-30068655</v>
      </c>
      <c r="U92" s="319">
        <f t="shared" si="10"/>
        <v>-43865460</v>
      </c>
      <c r="V92" s="319">
        <f t="shared" si="10"/>
        <v>-379212807.05000001</v>
      </c>
      <c r="W92" s="319"/>
      <c r="X92" s="386"/>
      <c r="Y92" s="201"/>
      <c r="Z92" s="219"/>
      <c r="AA92" s="210"/>
      <c r="AB92" s="210"/>
      <c r="AC92" s="210"/>
      <c r="AD92" t="s">
        <v>163</v>
      </c>
    </row>
    <row r="93" spans="1:30" ht="17.25" thickBot="1" x14ac:dyDescent="0.35">
      <c r="A93" s="205"/>
      <c r="B93" s="315"/>
      <c r="C93" s="312"/>
      <c r="D93" s="312"/>
      <c r="E93" s="312"/>
      <c r="F93" s="312"/>
      <c r="G93" s="313"/>
      <c r="H93" s="374"/>
      <c r="I93" s="374"/>
      <c r="J93" s="374"/>
      <c r="K93" s="374"/>
      <c r="L93" s="374"/>
      <c r="M93" s="374"/>
      <c r="N93" s="374"/>
      <c r="O93" s="374"/>
      <c r="P93" s="374"/>
      <c r="Q93" s="374"/>
      <c r="R93" s="374"/>
      <c r="S93" s="374"/>
      <c r="T93" s="374"/>
      <c r="U93" s="374"/>
      <c r="V93" s="375"/>
      <c r="W93" s="376"/>
      <c r="X93" s="338"/>
      <c r="Y93" s="316"/>
      <c r="Z93" s="219"/>
      <c r="AA93" s="210"/>
      <c r="AB93" s="210"/>
      <c r="AC93" s="210"/>
      <c r="AD93" t="s">
        <v>163</v>
      </c>
    </row>
    <row r="94" spans="1:30" ht="16.5" x14ac:dyDescent="0.3">
      <c r="A94" s="196"/>
      <c r="B94" s="206"/>
      <c r="C94" s="198"/>
      <c r="D94" s="198"/>
      <c r="E94" s="198"/>
      <c r="F94" s="198"/>
      <c r="G94" s="199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66"/>
      <c r="W94" s="371"/>
      <c r="X94" s="255"/>
      <c r="Y94" s="187"/>
      <c r="Z94" s="219"/>
      <c r="AA94" s="202"/>
      <c r="AB94" s="202"/>
      <c r="AC94" s="202"/>
      <c r="AD94" t="s">
        <v>163</v>
      </c>
    </row>
    <row r="95" spans="1:30" ht="16.5" x14ac:dyDescent="0.3">
      <c r="A95" s="196"/>
      <c r="B95" s="197"/>
      <c r="C95" s="321" t="s">
        <v>352</v>
      </c>
      <c r="D95" s="321"/>
      <c r="E95" s="321"/>
      <c r="F95" s="207"/>
      <c r="G95" s="213"/>
      <c r="H95" s="212"/>
      <c r="I95" s="212"/>
      <c r="J95" s="487"/>
      <c r="K95" s="487"/>
      <c r="L95" s="487"/>
      <c r="M95" s="487"/>
      <c r="N95" s="487"/>
      <c r="O95" s="487"/>
      <c r="P95" s="487"/>
      <c r="Q95" s="487"/>
      <c r="R95" s="212"/>
      <c r="S95" s="487"/>
      <c r="T95" s="487"/>
      <c r="U95" s="487"/>
      <c r="V95" s="371"/>
      <c r="W95" s="371"/>
      <c r="X95" s="209"/>
      <c r="Y95" s="201"/>
      <c r="Z95" s="219"/>
      <c r="AA95" s="202"/>
      <c r="AB95" s="202"/>
      <c r="AC95" s="202"/>
      <c r="AD95" t="s">
        <v>163</v>
      </c>
    </row>
    <row r="96" spans="1:30" ht="16.5" x14ac:dyDescent="0.3">
      <c r="A96" s="205"/>
      <c r="B96" s="206"/>
      <c r="C96" s="321"/>
      <c r="D96" s="228" t="s">
        <v>317</v>
      </c>
      <c r="E96" s="321"/>
      <c r="F96" s="207"/>
      <c r="G96" s="199" t="s">
        <v>327</v>
      </c>
      <c r="H96" s="214"/>
      <c r="I96" s="200"/>
      <c r="J96" s="485"/>
      <c r="K96" s="485"/>
      <c r="L96" s="485"/>
      <c r="M96" s="485"/>
      <c r="N96" s="485"/>
      <c r="O96" s="485"/>
      <c r="P96" s="485"/>
      <c r="Q96" s="485"/>
      <c r="R96" s="200"/>
      <c r="S96" s="485"/>
      <c r="T96" s="485"/>
      <c r="U96" s="485"/>
      <c r="V96" s="368"/>
      <c r="W96" s="368"/>
      <c r="X96" s="255"/>
      <c r="Y96" s="201"/>
      <c r="Z96" s="436" t="s">
        <v>572</v>
      </c>
      <c r="AA96" s="210"/>
      <c r="AB96" s="210"/>
      <c r="AC96" s="210"/>
      <c r="AD96" t="s">
        <v>163</v>
      </c>
    </row>
    <row r="97" spans="1:30" ht="16.5" x14ac:dyDescent="0.3">
      <c r="A97" s="196"/>
      <c r="B97" s="197"/>
      <c r="C97" s="321"/>
      <c r="D97" s="228" t="s">
        <v>275</v>
      </c>
      <c r="E97" s="321"/>
      <c r="F97" s="207"/>
      <c r="G97" s="199" t="s">
        <v>125</v>
      </c>
      <c r="H97" s="200"/>
      <c r="I97" s="200"/>
      <c r="J97" s="485"/>
      <c r="K97" s="485"/>
      <c r="L97" s="485"/>
      <c r="M97" s="485"/>
      <c r="N97" s="485"/>
      <c r="O97" s="485"/>
      <c r="P97" s="485"/>
      <c r="Q97" s="485"/>
      <c r="R97" s="200"/>
      <c r="S97" s="485"/>
      <c r="T97" s="485"/>
      <c r="U97" s="485"/>
      <c r="V97" s="368"/>
      <c r="W97" s="368"/>
      <c r="X97" s="255"/>
      <c r="Y97" s="201"/>
      <c r="Z97" s="436"/>
      <c r="AA97" s="202"/>
      <c r="AB97" s="202"/>
      <c r="AC97" s="202"/>
      <c r="AD97" t="s">
        <v>163</v>
      </c>
    </row>
    <row r="98" spans="1:30" ht="16.5" x14ac:dyDescent="0.3">
      <c r="A98" s="205"/>
      <c r="B98" s="206"/>
      <c r="C98" s="321"/>
      <c r="D98" s="228" t="s">
        <v>318</v>
      </c>
      <c r="E98" s="321"/>
      <c r="F98" s="207"/>
      <c r="G98" s="199" t="s">
        <v>126</v>
      </c>
      <c r="H98" s="200"/>
      <c r="I98" s="200"/>
      <c r="J98" s="485"/>
      <c r="K98" s="485"/>
      <c r="L98" s="485"/>
      <c r="M98" s="485"/>
      <c r="N98" s="485"/>
      <c r="O98" s="485"/>
      <c r="P98" s="485"/>
      <c r="Q98" s="485"/>
      <c r="R98" s="200"/>
      <c r="S98" s="485"/>
      <c r="T98" s="485"/>
      <c r="U98" s="485"/>
      <c r="V98" s="368"/>
      <c r="W98" s="368"/>
      <c r="X98" s="255"/>
      <c r="Y98" s="201"/>
      <c r="Z98" s="436"/>
      <c r="AA98" s="210"/>
      <c r="AB98" s="210"/>
      <c r="AC98" s="210"/>
      <c r="AD98" t="s">
        <v>163</v>
      </c>
    </row>
    <row r="99" spans="1:30" ht="16.5" x14ac:dyDescent="0.3">
      <c r="A99" s="205"/>
      <c r="B99" s="206"/>
      <c r="C99" s="321"/>
      <c r="D99" s="228" t="s">
        <v>319</v>
      </c>
      <c r="E99" s="321"/>
      <c r="F99" s="207"/>
      <c r="G99" s="199" t="s">
        <v>127</v>
      </c>
      <c r="H99" s="200"/>
      <c r="I99" s="200"/>
      <c r="J99" s="485"/>
      <c r="K99" s="485"/>
      <c r="L99" s="485"/>
      <c r="M99" s="485"/>
      <c r="N99" s="485"/>
      <c r="O99" s="485"/>
      <c r="P99" s="485"/>
      <c r="Q99" s="485"/>
      <c r="R99" s="200"/>
      <c r="S99" s="485"/>
      <c r="T99" s="485"/>
      <c r="U99" s="485"/>
      <c r="V99" s="368"/>
      <c r="W99" s="368"/>
      <c r="X99" s="255"/>
      <c r="Y99" s="201"/>
      <c r="Z99" s="436" t="s">
        <v>572</v>
      </c>
      <c r="AA99" s="210"/>
      <c r="AB99" s="210"/>
      <c r="AC99" s="210"/>
      <c r="AD99" t="s">
        <v>163</v>
      </c>
    </row>
    <row r="100" spans="1:30" ht="16.5" x14ac:dyDescent="0.3">
      <c r="A100" s="205"/>
      <c r="B100" s="206"/>
      <c r="C100" s="321"/>
      <c r="D100" s="228" t="s">
        <v>282</v>
      </c>
      <c r="E100" s="321"/>
      <c r="F100" s="207"/>
      <c r="G100" s="199" t="s">
        <v>320</v>
      </c>
      <c r="H100" s="200"/>
      <c r="I100" s="200"/>
      <c r="J100" s="485"/>
      <c r="K100" s="485"/>
      <c r="L100" s="485"/>
      <c r="M100" s="485"/>
      <c r="N100" s="485"/>
      <c r="O100" s="485"/>
      <c r="P100" s="485"/>
      <c r="Q100" s="485"/>
      <c r="R100" s="200"/>
      <c r="S100" s="485"/>
      <c r="T100" s="485"/>
      <c r="U100" s="485"/>
      <c r="V100" s="368"/>
      <c r="W100" s="377"/>
      <c r="X100" s="255"/>
      <c r="Y100" s="201"/>
      <c r="Z100" s="436" t="s">
        <v>572</v>
      </c>
      <c r="AA100" s="210"/>
      <c r="AB100" s="210"/>
      <c r="AC100" s="210"/>
      <c r="AD100" t="s">
        <v>163</v>
      </c>
    </row>
    <row r="101" spans="1:30" ht="16.5" x14ac:dyDescent="0.3">
      <c r="A101" s="205"/>
      <c r="B101" s="206"/>
      <c r="C101" s="321" t="s">
        <v>480</v>
      </c>
      <c r="D101" s="228"/>
      <c r="E101" s="321"/>
      <c r="F101" s="230"/>
      <c r="G101" s="259"/>
      <c r="H101" s="208"/>
      <c r="I101" s="208"/>
      <c r="J101" s="486"/>
      <c r="K101" s="486"/>
      <c r="L101" s="486"/>
      <c r="M101" s="486"/>
      <c r="N101" s="486"/>
      <c r="O101" s="486"/>
      <c r="P101" s="486"/>
      <c r="Q101" s="486"/>
      <c r="R101" s="208"/>
      <c r="S101" s="486"/>
      <c r="T101" s="486"/>
      <c r="U101" s="486"/>
      <c r="V101" s="370"/>
      <c r="W101" s="371"/>
      <c r="X101" s="337"/>
      <c r="Y101" s="201"/>
      <c r="Z101" s="219"/>
      <c r="AA101" s="210"/>
      <c r="AB101" s="210"/>
      <c r="AC101" s="210"/>
      <c r="AD101" t="s">
        <v>163</v>
      </c>
    </row>
    <row r="102" spans="1:30" ht="17.25" thickBot="1" x14ac:dyDescent="0.35">
      <c r="A102" s="205"/>
      <c r="B102" s="231"/>
      <c r="C102" s="216"/>
      <c r="D102" s="216"/>
      <c r="E102" s="216"/>
      <c r="F102" s="216"/>
      <c r="G102" s="216"/>
      <c r="H102" s="216"/>
      <c r="I102" s="365"/>
      <c r="J102" s="365"/>
      <c r="K102" s="365"/>
      <c r="L102" s="365"/>
      <c r="M102" s="365"/>
      <c r="N102" s="365"/>
      <c r="O102" s="365"/>
      <c r="P102" s="365"/>
      <c r="Q102" s="365"/>
      <c r="R102" s="232"/>
      <c r="S102" s="217"/>
      <c r="T102" s="217"/>
      <c r="U102" s="217"/>
      <c r="V102" s="216"/>
      <c r="W102" s="216"/>
      <c r="X102" s="216"/>
      <c r="Y102" s="316"/>
      <c r="Z102" s="219"/>
      <c r="AA102" s="210"/>
      <c r="AB102" s="210"/>
      <c r="AC102" s="210"/>
      <c r="AD102" t="s">
        <v>163</v>
      </c>
    </row>
    <row r="103" spans="1:30" ht="17.25" thickBot="1" x14ac:dyDescent="0.35">
      <c r="A103" s="196"/>
      <c r="B103" s="196"/>
      <c r="C103" s="196"/>
      <c r="D103" s="196"/>
      <c r="E103" s="196"/>
      <c r="F103" s="234"/>
      <c r="G103" s="196"/>
      <c r="H103" s="196"/>
      <c r="I103" s="235"/>
      <c r="J103" s="235"/>
      <c r="K103" s="235"/>
      <c r="L103" s="235"/>
      <c r="M103" s="235"/>
      <c r="N103" s="235"/>
      <c r="O103" s="235"/>
      <c r="P103" s="235"/>
      <c r="Q103" s="235"/>
      <c r="R103" s="236"/>
      <c r="S103" s="196"/>
      <c r="T103" s="196"/>
      <c r="U103" s="196"/>
      <c r="V103" s="196"/>
      <c r="W103" s="196"/>
      <c r="X103" s="234"/>
      <c r="Y103" s="381"/>
      <c r="Z103" s="219"/>
      <c r="AA103" s="379"/>
      <c r="AB103" s="380"/>
      <c r="AC103" s="380"/>
      <c r="AD103" t="s">
        <v>163</v>
      </c>
    </row>
    <row r="104" spans="1:30" ht="16.5" x14ac:dyDescent="0.3">
      <c r="A104" s="205"/>
      <c r="B104" s="220"/>
      <c r="C104" s="221"/>
      <c r="D104" s="221"/>
      <c r="E104" s="221"/>
      <c r="F104" s="222"/>
      <c r="G104" s="223"/>
      <c r="H104" s="223"/>
      <c r="I104" s="224"/>
      <c r="J104" s="224"/>
      <c r="K104" s="224"/>
      <c r="L104" s="224"/>
      <c r="M104" s="224"/>
      <c r="N104" s="224"/>
      <c r="O104" s="224"/>
      <c r="P104" s="224"/>
      <c r="Q104" s="224"/>
      <c r="R104" s="225"/>
      <c r="S104" s="221"/>
      <c r="T104" s="221"/>
      <c r="U104" s="221"/>
      <c r="V104" s="221"/>
      <c r="W104" s="221"/>
      <c r="X104" s="222"/>
      <c r="Y104" s="187"/>
      <c r="Z104" s="219"/>
      <c r="AA104" s="210"/>
      <c r="AB104" s="210"/>
      <c r="AC104" s="210"/>
      <c r="AD104" t="s">
        <v>163</v>
      </c>
    </row>
    <row r="105" spans="1:30" ht="16.5" x14ac:dyDescent="0.3">
      <c r="A105" s="205"/>
      <c r="B105" s="206"/>
      <c r="C105" s="207" t="s">
        <v>259</v>
      </c>
      <c r="D105" s="198"/>
      <c r="E105" s="207"/>
      <c r="F105" s="207"/>
      <c r="G105" s="213"/>
      <c r="H105" s="212"/>
      <c r="I105" s="212"/>
      <c r="J105" s="487"/>
      <c r="K105" s="487"/>
      <c r="L105" s="487"/>
      <c r="M105" s="487"/>
      <c r="N105" s="487"/>
      <c r="O105" s="487"/>
      <c r="P105" s="487"/>
      <c r="Q105" s="487"/>
      <c r="R105" s="212"/>
      <c r="S105" s="487"/>
      <c r="T105" s="487"/>
      <c r="U105" s="487"/>
      <c r="V105" s="371"/>
      <c r="W105" s="371"/>
      <c r="X105" s="203"/>
      <c r="Y105" s="201"/>
      <c r="Z105" s="219"/>
      <c r="AA105" s="210"/>
      <c r="AB105" s="210"/>
      <c r="AC105" s="210"/>
      <c r="AD105" t="s">
        <v>163</v>
      </c>
    </row>
    <row r="106" spans="1:30" ht="16.5" x14ac:dyDescent="0.3">
      <c r="A106" s="205"/>
      <c r="B106" s="206"/>
      <c r="C106" s="207"/>
      <c r="D106" s="198" t="s">
        <v>449</v>
      </c>
      <c r="E106" s="207"/>
      <c r="F106" s="207"/>
      <c r="G106" s="199">
        <v>65</v>
      </c>
      <c r="H106" s="200">
        <v>0</v>
      </c>
      <c r="I106" s="200">
        <v>0</v>
      </c>
      <c r="J106" s="485"/>
      <c r="K106" s="485"/>
      <c r="L106" s="485"/>
      <c r="M106" s="485"/>
      <c r="N106" s="485"/>
      <c r="O106" s="485"/>
      <c r="P106" s="485"/>
      <c r="Q106" s="485"/>
      <c r="R106" s="200"/>
      <c r="S106" s="485"/>
      <c r="T106" s="485"/>
      <c r="U106" s="485"/>
      <c r="V106" s="368"/>
      <c r="W106" s="368"/>
      <c r="X106" s="255" t="s">
        <v>488</v>
      </c>
      <c r="Y106" s="201"/>
      <c r="Z106" s="219"/>
      <c r="AA106" s="210"/>
      <c r="AB106" s="210"/>
      <c r="AC106" s="210"/>
      <c r="AD106" t="s">
        <v>163</v>
      </c>
    </row>
    <row r="107" spans="1:30" ht="16.5" x14ac:dyDescent="0.3">
      <c r="A107" s="205"/>
      <c r="B107" s="206"/>
      <c r="C107" s="207"/>
      <c r="D107" s="198" t="s">
        <v>451</v>
      </c>
      <c r="E107" s="207"/>
      <c r="F107" s="207"/>
      <c r="G107" s="199">
        <v>65</v>
      </c>
      <c r="H107" s="200">
        <v>0</v>
      </c>
      <c r="I107" s="200">
        <v>0</v>
      </c>
      <c r="J107" s="485"/>
      <c r="K107" s="485"/>
      <c r="L107" s="485"/>
      <c r="M107" s="485"/>
      <c r="N107" s="485"/>
      <c r="O107" s="485"/>
      <c r="P107" s="485"/>
      <c r="Q107" s="485"/>
      <c r="R107" s="200"/>
      <c r="S107" s="485"/>
      <c r="T107" s="485"/>
      <c r="U107" s="485"/>
      <c r="V107" s="368"/>
      <c r="W107" s="368"/>
      <c r="X107" s="255" t="s">
        <v>488</v>
      </c>
      <c r="Y107" s="201"/>
      <c r="Z107" s="219"/>
      <c r="AA107" s="210"/>
      <c r="AB107" s="210"/>
      <c r="AC107" s="210"/>
      <c r="AD107" t="s">
        <v>163</v>
      </c>
    </row>
    <row r="108" spans="1:30" ht="16.5" x14ac:dyDescent="0.3">
      <c r="A108" s="205"/>
      <c r="B108" s="206"/>
      <c r="C108" s="207"/>
      <c r="D108" s="198" t="s">
        <v>328</v>
      </c>
      <c r="E108" s="207"/>
      <c r="F108" s="207"/>
      <c r="G108" s="199">
        <v>66</v>
      </c>
      <c r="H108" s="200">
        <v>0</v>
      </c>
      <c r="I108" s="200">
        <v>0</v>
      </c>
      <c r="J108" s="485"/>
      <c r="K108" s="485"/>
      <c r="L108" s="485"/>
      <c r="M108" s="485"/>
      <c r="N108" s="485"/>
      <c r="O108" s="485"/>
      <c r="P108" s="485"/>
      <c r="Q108" s="485"/>
      <c r="R108" s="200"/>
      <c r="S108" s="485"/>
      <c r="T108" s="485"/>
      <c r="U108" s="485"/>
      <c r="V108" s="368"/>
      <c r="W108" s="368"/>
      <c r="X108" s="255" t="s">
        <v>488</v>
      </c>
      <c r="Y108" s="201"/>
      <c r="Z108" s="219"/>
      <c r="AA108" s="210"/>
      <c r="AB108" s="210"/>
      <c r="AC108" s="210"/>
      <c r="AD108" t="s">
        <v>163</v>
      </c>
    </row>
    <row r="109" spans="1:30" ht="16.5" x14ac:dyDescent="0.3">
      <c r="A109" s="196"/>
      <c r="B109" s="197"/>
      <c r="C109" s="207"/>
      <c r="D109" s="198" t="s">
        <v>483</v>
      </c>
      <c r="E109" s="207"/>
      <c r="F109" s="207"/>
      <c r="G109" s="199">
        <v>68</v>
      </c>
      <c r="H109" s="200">
        <v>0</v>
      </c>
      <c r="I109" s="200">
        <v>0</v>
      </c>
      <c r="J109" s="485"/>
      <c r="K109" s="485"/>
      <c r="L109" s="485"/>
      <c r="M109" s="485"/>
      <c r="N109" s="485"/>
      <c r="O109" s="485"/>
      <c r="P109" s="485"/>
      <c r="Q109" s="485"/>
      <c r="R109" s="200"/>
      <c r="S109" s="485"/>
      <c r="T109" s="485"/>
      <c r="U109" s="485"/>
      <c r="V109" s="368"/>
      <c r="W109" s="368"/>
      <c r="X109" s="255" t="s">
        <v>488</v>
      </c>
      <c r="Y109" s="187"/>
      <c r="Z109" s="254"/>
      <c r="AA109" s="202"/>
      <c r="AB109" s="202"/>
      <c r="AC109" s="202"/>
      <c r="AD109" t="s">
        <v>163</v>
      </c>
    </row>
    <row r="110" spans="1:30" ht="16.5" x14ac:dyDescent="0.3">
      <c r="A110" s="196"/>
      <c r="B110" s="197"/>
      <c r="C110" s="207"/>
      <c r="D110" s="198" t="s">
        <v>329</v>
      </c>
      <c r="E110" s="207"/>
      <c r="F110" s="207"/>
      <c r="G110" s="199" t="s">
        <v>453</v>
      </c>
      <c r="H110" s="200">
        <v>0</v>
      </c>
      <c r="I110" s="200">
        <v>0</v>
      </c>
      <c r="J110" s="485"/>
      <c r="K110" s="485"/>
      <c r="L110" s="485"/>
      <c r="M110" s="485"/>
      <c r="N110" s="485"/>
      <c r="O110" s="485"/>
      <c r="P110" s="485"/>
      <c r="Q110" s="485"/>
      <c r="R110" s="200"/>
      <c r="S110" s="485"/>
      <c r="T110" s="485"/>
      <c r="U110" s="485"/>
      <c r="V110" s="368"/>
      <c r="W110" s="368"/>
      <c r="X110" s="255" t="s">
        <v>488</v>
      </c>
      <c r="Y110" s="187"/>
      <c r="Z110" s="254"/>
      <c r="AA110" s="202"/>
      <c r="AB110" s="202"/>
      <c r="AC110" s="202"/>
      <c r="AD110" t="s">
        <v>163</v>
      </c>
    </row>
    <row r="111" spans="1:30" ht="16.5" x14ac:dyDescent="0.3">
      <c r="A111" s="205"/>
      <c r="B111" s="206"/>
      <c r="C111" s="207" t="s">
        <v>330</v>
      </c>
      <c r="D111" s="198"/>
      <c r="E111" s="207"/>
      <c r="F111" s="230"/>
      <c r="G111" s="259"/>
      <c r="H111" s="208">
        <v>0</v>
      </c>
      <c r="I111" s="208">
        <v>0</v>
      </c>
      <c r="J111" s="486"/>
      <c r="K111" s="486"/>
      <c r="L111" s="486"/>
      <c r="M111" s="486"/>
      <c r="N111" s="486"/>
      <c r="O111" s="486"/>
      <c r="P111" s="486"/>
      <c r="Q111" s="486"/>
      <c r="R111" s="208"/>
      <c r="S111" s="486"/>
      <c r="T111" s="486"/>
      <c r="U111" s="486"/>
      <c r="V111" s="370"/>
      <c r="W111" s="370"/>
      <c r="X111" s="337" t="s">
        <v>488</v>
      </c>
      <c r="Y111" s="201"/>
      <c r="Z111" s="219"/>
      <c r="AA111" s="210"/>
      <c r="AB111" s="210"/>
      <c r="AC111" s="210"/>
      <c r="AD111" t="s">
        <v>163</v>
      </c>
    </row>
    <row r="112" spans="1:30" ht="16.5" x14ac:dyDescent="0.3">
      <c r="A112" s="205"/>
      <c r="B112" s="206"/>
      <c r="C112" s="207"/>
      <c r="D112" s="198"/>
      <c r="E112" s="207"/>
      <c r="F112" s="207"/>
      <c r="G112" s="213"/>
      <c r="H112" s="212"/>
      <c r="I112" s="212"/>
      <c r="J112" s="487"/>
      <c r="K112" s="487"/>
      <c r="L112" s="487"/>
      <c r="M112" s="487"/>
      <c r="N112" s="487"/>
      <c r="O112" s="487"/>
      <c r="P112" s="487"/>
      <c r="Q112" s="487"/>
      <c r="R112" s="212"/>
      <c r="S112" s="487"/>
      <c r="T112" s="487"/>
      <c r="U112" s="487"/>
      <c r="V112" s="371"/>
      <c r="W112" s="371"/>
      <c r="X112" s="209"/>
      <c r="Y112" s="201"/>
      <c r="Z112" s="219"/>
      <c r="AA112" s="210"/>
      <c r="AB112" s="210"/>
      <c r="AC112" s="210"/>
      <c r="AD112" t="s">
        <v>163</v>
      </c>
    </row>
    <row r="113" spans="1:30" x14ac:dyDescent="0.25">
      <c r="A113" s="205"/>
      <c r="B113" s="206"/>
      <c r="C113" s="207" t="s">
        <v>331</v>
      </c>
      <c r="D113" s="207"/>
      <c r="E113" s="207"/>
      <c r="F113" s="207"/>
      <c r="G113" s="213"/>
      <c r="H113" s="212"/>
      <c r="I113" s="212"/>
      <c r="J113" s="487"/>
      <c r="K113" s="487"/>
      <c r="L113" s="487"/>
      <c r="M113" s="487"/>
      <c r="N113" s="487"/>
      <c r="O113" s="487"/>
      <c r="P113" s="487"/>
      <c r="Q113" s="487"/>
      <c r="R113" s="212"/>
      <c r="S113" s="487"/>
      <c r="T113" s="487"/>
      <c r="U113" s="487"/>
      <c r="V113" s="371"/>
      <c r="W113" s="371"/>
      <c r="X113" s="209"/>
      <c r="Y113" s="215"/>
      <c r="Z113" s="218"/>
      <c r="AA113" s="210"/>
      <c r="AB113" s="210"/>
      <c r="AC113" s="210"/>
      <c r="AD113" t="s">
        <v>163</v>
      </c>
    </row>
    <row r="114" spans="1:30" ht="16.5" x14ac:dyDescent="0.3">
      <c r="A114" s="205"/>
      <c r="B114" s="206"/>
      <c r="C114" s="198"/>
      <c r="D114" s="269" t="s">
        <v>185</v>
      </c>
      <c r="E114" s="198"/>
      <c r="F114" s="198"/>
      <c r="G114" s="199">
        <v>37</v>
      </c>
      <c r="H114" s="200">
        <v>0</v>
      </c>
      <c r="I114" s="200">
        <v>0</v>
      </c>
      <c r="J114" s="485"/>
      <c r="K114" s="485"/>
      <c r="L114" s="485"/>
      <c r="M114" s="485"/>
      <c r="N114" s="485"/>
      <c r="O114" s="485"/>
      <c r="P114" s="485"/>
      <c r="Q114" s="485"/>
      <c r="R114" s="200"/>
      <c r="S114" s="485"/>
      <c r="T114" s="485"/>
      <c r="U114" s="485"/>
      <c r="V114" s="368"/>
      <c r="W114" s="368"/>
      <c r="X114" s="255" t="s">
        <v>488</v>
      </c>
      <c r="Y114" s="201"/>
      <c r="Z114" s="219"/>
      <c r="AA114" s="210"/>
      <c r="AB114" s="210"/>
      <c r="AC114" s="210"/>
      <c r="AD114" t="s">
        <v>163</v>
      </c>
    </row>
    <row r="115" spans="1:30" ht="16.5" x14ac:dyDescent="0.3">
      <c r="A115" s="196"/>
      <c r="B115" s="197"/>
      <c r="C115" s="198"/>
      <c r="D115" s="269" t="s">
        <v>484</v>
      </c>
      <c r="E115" s="198"/>
      <c r="F115" s="198"/>
      <c r="G115" s="199" t="s">
        <v>186</v>
      </c>
      <c r="H115" s="200">
        <v>0</v>
      </c>
      <c r="I115" s="200"/>
      <c r="J115" s="485"/>
      <c r="K115" s="485"/>
      <c r="L115" s="485"/>
      <c r="M115" s="485"/>
      <c r="N115" s="485"/>
      <c r="O115" s="485"/>
      <c r="P115" s="485"/>
      <c r="Q115" s="485"/>
      <c r="R115" s="200"/>
      <c r="S115" s="485"/>
      <c r="T115" s="485"/>
      <c r="U115" s="485"/>
      <c r="V115" s="368"/>
      <c r="W115" s="368"/>
      <c r="X115" s="255" t="s">
        <v>488</v>
      </c>
      <c r="Y115" s="201"/>
      <c r="Z115" s="219"/>
      <c r="AA115" s="202"/>
      <c r="AB115" s="202"/>
      <c r="AC115" s="202"/>
      <c r="AD115" t="s">
        <v>163</v>
      </c>
    </row>
    <row r="116" spans="1:30" ht="16.5" x14ac:dyDescent="0.3">
      <c r="A116" s="196"/>
      <c r="B116" s="206"/>
      <c r="C116" s="207" t="s">
        <v>332</v>
      </c>
      <c r="D116" s="198"/>
      <c r="E116" s="207"/>
      <c r="F116" s="230"/>
      <c r="G116" s="259"/>
      <c r="H116" s="208">
        <v>0</v>
      </c>
      <c r="I116" s="208">
        <v>0</v>
      </c>
      <c r="J116" s="486"/>
      <c r="K116" s="486"/>
      <c r="L116" s="486"/>
      <c r="M116" s="486"/>
      <c r="N116" s="486"/>
      <c r="O116" s="486"/>
      <c r="P116" s="486"/>
      <c r="Q116" s="486"/>
      <c r="R116" s="208"/>
      <c r="S116" s="486"/>
      <c r="T116" s="486"/>
      <c r="U116" s="486"/>
      <c r="V116" s="370"/>
      <c r="W116" s="370"/>
      <c r="X116" s="337" t="s">
        <v>488</v>
      </c>
      <c r="Y116" s="201"/>
      <c r="Z116" s="196"/>
      <c r="AA116" s="202"/>
      <c r="AB116" s="202"/>
      <c r="AC116" s="202"/>
      <c r="AD116" t="s">
        <v>163</v>
      </c>
    </row>
    <row r="117" spans="1:30" ht="17.25" thickBot="1" x14ac:dyDescent="0.35">
      <c r="A117" s="196"/>
      <c r="B117" s="270"/>
      <c r="C117" s="271"/>
      <c r="D117" s="271"/>
      <c r="E117" s="271"/>
      <c r="F117" s="272"/>
      <c r="G117" s="272"/>
      <c r="H117" s="273"/>
      <c r="I117" s="271"/>
      <c r="J117" s="271"/>
      <c r="K117" s="271"/>
      <c r="L117" s="271"/>
      <c r="M117" s="271"/>
      <c r="N117" s="271"/>
      <c r="O117" s="271"/>
      <c r="P117" s="271"/>
      <c r="Q117" s="271"/>
      <c r="R117" s="271"/>
      <c r="S117" s="271"/>
      <c r="T117" s="271"/>
      <c r="U117" s="271"/>
      <c r="V117" s="361"/>
      <c r="W117" s="361"/>
      <c r="X117" s="334"/>
      <c r="Y117" s="274"/>
      <c r="Z117" s="196"/>
      <c r="AA117" s="202"/>
      <c r="AB117" s="202"/>
      <c r="AC117" s="202"/>
      <c r="AD117" t="s">
        <v>163</v>
      </c>
    </row>
    <row r="118" spans="1:30" ht="16.5" x14ac:dyDescent="0.3">
      <c r="A118" s="196"/>
      <c r="B118" s="196"/>
      <c r="C118" s="196"/>
      <c r="D118" s="196"/>
      <c r="E118" s="196"/>
      <c r="F118" s="234"/>
      <c r="G118" s="234"/>
      <c r="H118" s="275"/>
      <c r="I118" s="196"/>
      <c r="J118" s="196"/>
      <c r="K118" s="196"/>
      <c r="L118" s="196"/>
      <c r="M118" s="196"/>
      <c r="N118" s="196"/>
      <c r="O118" s="196"/>
      <c r="P118" s="196"/>
      <c r="Q118" s="196"/>
      <c r="R118" s="196"/>
      <c r="S118" s="196"/>
      <c r="T118" s="196"/>
      <c r="U118" s="196"/>
      <c r="V118" s="362"/>
      <c r="W118" s="362"/>
      <c r="X118" s="235"/>
      <c r="Y118" s="196"/>
      <c r="Z118" s="196"/>
      <c r="AA118" s="202"/>
      <c r="AB118" s="202"/>
      <c r="AC118" s="202"/>
      <c r="AD118" t="s">
        <v>163</v>
      </c>
    </row>
    <row r="119" spans="1:30" ht="16.5" x14ac:dyDescent="0.3">
      <c r="A119" s="196"/>
      <c r="B119" s="196"/>
      <c r="C119" s="196"/>
      <c r="D119" s="196"/>
      <c r="E119" s="196"/>
      <c r="F119" s="234"/>
      <c r="G119" s="234"/>
      <c r="H119" s="275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196"/>
      <c r="U119" s="196"/>
      <c r="V119" s="362"/>
      <c r="W119" s="362"/>
      <c r="X119" s="235"/>
      <c r="Y119" s="196"/>
      <c r="Z119" s="196"/>
      <c r="AA119" s="202"/>
      <c r="AB119" s="202"/>
      <c r="AC119" s="202"/>
      <c r="AD119" t="s">
        <v>163</v>
      </c>
    </row>
    <row r="120" spans="1:30" ht="16.5" x14ac:dyDescent="0.3">
      <c r="A120" s="196"/>
      <c r="B120" s="196"/>
      <c r="C120" s="196"/>
      <c r="D120" s="196"/>
      <c r="E120" s="196"/>
      <c r="F120" s="234"/>
      <c r="G120" s="234"/>
      <c r="H120" s="275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96"/>
      <c r="V120" s="362"/>
      <c r="W120" s="362"/>
      <c r="X120" s="235"/>
      <c r="Y120" s="196"/>
      <c r="Z120" s="196"/>
      <c r="AA120" s="202"/>
      <c r="AB120" s="202"/>
      <c r="AC120" s="202"/>
      <c r="AD120" t="s">
        <v>163</v>
      </c>
    </row>
    <row r="121" spans="1:30" ht="16.5" x14ac:dyDescent="0.3">
      <c r="A121" s="196"/>
      <c r="B121" s="196"/>
      <c r="C121" s="196"/>
      <c r="D121" s="196"/>
      <c r="E121" s="196"/>
      <c r="F121" s="234"/>
      <c r="G121" s="234"/>
      <c r="H121" s="275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6"/>
      <c r="T121" s="196"/>
      <c r="U121" s="196"/>
      <c r="V121" s="362"/>
      <c r="W121" s="362"/>
      <c r="X121" s="235"/>
      <c r="Y121" s="196"/>
      <c r="Z121" s="196"/>
      <c r="AA121" s="202"/>
      <c r="AB121" s="202"/>
      <c r="AC121" s="202"/>
      <c r="AD121" t="s">
        <v>163</v>
      </c>
    </row>
    <row r="122" spans="1:30" ht="16.5" x14ac:dyDescent="0.3">
      <c r="A122" s="196"/>
      <c r="B122" s="196"/>
      <c r="C122" s="196"/>
      <c r="D122" s="196"/>
      <c r="E122" s="196"/>
      <c r="F122" s="234"/>
      <c r="G122" s="234"/>
      <c r="H122" s="275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  <c r="U122" s="196"/>
      <c r="V122" s="362"/>
      <c r="W122" s="362"/>
      <c r="X122" s="235"/>
      <c r="Y122" s="196"/>
      <c r="Z122" s="196"/>
      <c r="AA122" s="202"/>
      <c r="AB122" s="202"/>
      <c r="AC122" s="202"/>
      <c r="AD122" t="s">
        <v>163</v>
      </c>
    </row>
    <row r="123" spans="1:30" ht="16.5" x14ac:dyDescent="0.3">
      <c r="A123" s="202"/>
      <c r="B123" s="202"/>
      <c r="C123" s="202"/>
      <c r="D123" s="202"/>
      <c r="E123" s="202"/>
      <c r="F123" s="237"/>
      <c r="G123" s="237"/>
      <c r="H123" s="276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  <c r="T123" s="202"/>
      <c r="U123" s="202"/>
      <c r="V123" s="363"/>
      <c r="W123" s="363"/>
      <c r="X123" s="238"/>
      <c r="Y123" s="202"/>
      <c r="Z123" s="202"/>
      <c r="AA123" s="202"/>
      <c r="AB123" s="202"/>
      <c r="AC123" s="202"/>
    </row>
    <row r="124" spans="1:30" ht="16.5" x14ac:dyDescent="0.3">
      <c r="A124" s="188"/>
      <c r="B124" s="188"/>
      <c r="C124" s="188"/>
      <c r="D124" s="188"/>
      <c r="E124" s="188"/>
      <c r="F124" s="277"/>
      <c r="G124" s="277"/>
      <c r="H124" s="27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363"/>
      <c r="W124" s="363"/>
      <c r="X124" s="238"/>
      <c r="Y124" s="188"/>
      <c r="Z124" s="188"/>
      <c r="AA124" s="188"/>
      <c r="AB124" s="188"/>
      <c r="AC124" s="188"/>
    </row>
    <row r="125" spans="1:30" ht="16.5" x14ac:dyDescent="0.3">
      <c r="A125" s="188"/>
      <c r="B125" s="188"/>
      <c r="C125" s="188"/>
      <c r="D125" s="188"/>
      <c r="E125" s="188"/>
      <c r="F125" s="277"/>
      <c r="G125" s="277"/>
      <c r="H125" s="27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  <c r="V125" s="363"/>
      <c r="W125" s="363"/>
      <c r="X125" s="238"/>
      <c r="Y125" s="188"/>
      <c r="Z125" s="188"/>
      <c r="AA125" s="188"/>
      <c r="AB125" s="188"/>
      <c r="AC125" s="188"/>
    </row>
    <row r="126" spans="1:30" ht="16.5" x14ac:dyDescent="0.3">
      <c r="A126" s="188"/>
      <c r="B126" s="188"/>
      <c r="C126" s="188"/>
      <c r="D126" s="188"/>
      <c r="E126" s="188"/>
      <c r="F126" s="277"/>
      <c r="G126" s="277"/>
      <c r="H126" s="27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363"/>
      <c r="W126" s="363"/>
      <c r="X126" s="238"/>
      <c r="Y126" s="188"/>
      <c r="Z126" s="188"/>
      <c r="AA126" s="188"/>
      <c r="AB126" s="188"/>
      <c r="AC126" s="188"/>
    </row>
    <row r="127" spans="1:30" ht="16.5" x14ac:dyDescent="0.3">
      <c r="A127" s="188"/>
      <c r="B127" s="188"/>
      <c r="C127" s="188"/>
      <c r="D127" s="188"/>
      <c r="E127" s="188"/>
      <c r="F127" s="277"/>
      <c r="G127" s="277"/>
      <c r="H127" s="27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363"/>
      <c r="W127" s="363"/>
      <c r="X127" s="238"/>
      <c r="Y127" s="188"/>
      <c r="Z127" s="188"/>
      <c r="AA127" s="188"/>
      <c r="AB127" s="188"/>
      <c r="AC127" s="188"/>
    </row>
    <row r="128" spans="1:30" ht="16.5" x14ac:dyDescent="0.3">
      <c r="A128" s="188"/>
      <c r="B128" s="188"/>
      <c r="C128" s="188"/>
      <c r="D128" s="188"/>
      <c r="E128" s="188"/>
      <c r="F128" s="277"/>
      <c r="G128" s="277"/>
      <c r="H128" s="27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363"/>
      <c r="W128" s="363"/>
      <c r="X128" s="238"/>
      <c r="Y128" s="188"/>
      <c r="Z128" s="188"/>
      <c r="AA128" s="188"/>
      <c r="AB128" s="188"/>
      <c r="AC128" s="188"/>
    </row>
    <row r="129" spans="1:29" ht="16.5" x14ac:dyDescent="0.3">
      <c r="A129" s="188"/>
      <c r="B129" s="188"/>
      <c r="C129" s="188"/>
      <c r="D129" s="188"/>
      <c r="E129" s="188"/>
      <c r="F129" s="277"/>
      <c r="G129" s="277"/>
      <c r="H129" s="27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363"/>
      <c r="W129" s="363"/>
      <c r="X129" s="238"/>
      <c r="Y129" s="188"/>
      <c r="Z129" s="188"/>
      <c r="AA129" s="188"/>
      <c r="AB129" s="188"/>
      <c r="AC129" s="188"/>
    </row>
    <row r="130" spans="1:29" ht="16.5" x14ac:dyDescent="0.3">
      <c r="A130" s="188"/>
      <c r="B130" s="188"/>
      <c r="C130" s="188"/>
      <c r="D130" s="188"/>
      <c r="E130" s="188"/>
      <c r="F130" s="277"/>
      <c r="G130" s="277"/>
      <c r="H130" s="27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363"/>
      <c r="W130" s="363"/>
      <c r="X130" s="238"/>
      <c r="Y130" s="188"/>
      <c r="Z130" s="188"/>
      <c r="AA130" s="188"/>
      <c r="AB130" s="188"/>
      <c r="AC130" s="188"/>
    </row>
    <row r="131" spans="1:29" x14ac:dyDescent="0.25">
      <c r="X131" s="339"/>
    </row>
    <row r="132" spans="1:29" x14ac:dyDescent="0.25">
      <c r="X132" s="339"/>
    </row>
    <row r="133" spans="1:29" x14ac:dyDescent="0.25">
      <c r="X133" s="339"/>
    </row>
  </sheetData>
  <autoFilter ref="AD1:AD63"/>
  <mergeCells count="3">
    <mergeCell ref="C2:D2"/>
    <mergeCell ref="C3:D3"/>
    <mergeCell ref="I4:R4"/>
  </mergeCells>
  <conditionalFormatting sqref="H65">
    <cfRule type="containsText" dxfId="3" priority="4" operator="containsText" text="&quot;ejecutado&quot;">
      <formula>NOT(ISERROR(SEARCH("""ejecutado""",H65)))</formula>
    </cfRule>
  </conditionalFormatting>
  <conditionalFormatting sqref="H7">
    <cfRule type="containsText" dxfId="2" priority="3" operator="containsText" text="&quot;ejecutado&quot;">
      <formula>NOT(ISERROR(SEARCH("""ejecutado""",H7)))</formula>
    </cfRule>
  </conditionalFormatting>
  <conditionalFormatting sqref="W7">
    <cfRule type="containsText" dxfId="1" priority="2" operator="containsText" text="&quot;ejecutado&quot;">
      <formula>NOT(ISERROR(SEARCH("""ejecutado""",W7)))</formula>
    </cfRule>
  </conditionalFormatting>
  <conditionalFormatting sqref="X7">
    <cfRule type="containsText" dxfId="0" priority="1" operator="containsText" text="&quot;ejecutado&quot;">
      <formula>NOT(ISERROR(SEARCH("""ejecutado""",X7)))</formula>
    </cfRule>
  </conditionalFormatting>
  <dataValidations disablePrompts="1" count="1">
    <dataValidation type="list" allowBlank="1" showInputMessage="1" showErrorMessage="1" sqref="E5">
      <formula1>entidad</formula1>
    </dataValidation>
  </dataValidations>
  <pageMargins left="0.23622047244094491" right="3.937007874015748E-2" top="0.74803149606299213" bottom="0.74803149606299213" header="0.31496062992125984" footer="0.31496062992125984"/>
  <pageSetup paperSize="9" scale="40" orientation="landscape" r:id="rId1"/>
  <rowBreaks count="1" manualBreakCount="1">
    <brk id="59" min="1" max="23" man="1"/>
  </rowBreaks>
  <legacy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lineWeight="1.5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Y98</xm:sqref>
            </x14:sparkline>
            <x14:sparkline>
              <xm:sqref>Y99</xm:sqref>
            </x14:sparkline>
            <x14:sparkline>
              <xm:sqref>Y100</xm:sqref>
            </x14:sparkline>
            <x14:sparkline>
              <xm:sqref>Y101</xm:sqref>
            </x14:sparkline>
            <x14:sparkline>
              <xm:sqref>Y102</xm:sqref>
            </x14:sparkline>
            <x14:sparkline>
              <xm:sqref>Y104</xm:sqref>
            </x14:sparkline>
            <x14:sparkline>
              <xm:sqref>Y84</xm:sqref>
            </x14:sparkline>
            <x14:sparkline>
              <xm:sqref>Y90</xm:sqref>
            </x14:sparkline>
            <x14:sparkline>
              <xm:sqref>Y91</xm:sqref>
            </x14:sparkline>
            <x14:sparkline>
              <xm:sqref>Y85</xm:sqref>
            </x14:sparkline>
            <x14:sparkline>
              <xm:sqref>Y86</xm:sqref>
            </x14:sparkline>
            <x14:sparkline>
              <xm:sqref>Y92</xm:sqref>
            </x14:sparkline>
            <x14:sparkline>
              <xm:sqref>Y93</xm:sqref>
            </x14:sparkline>
            <x14:sparkline>
              <xm:sqref>Y105</xm:sqref>
            </x14:sparkline>
            <x14:sparkline>
              <xm:sqref>Y106</xm:sqref>
            </x14:sparkline>
            <x14:sparkline>
              <xm:sqref>Y107</xm:sqref>
            </x14:sparkline>
            <x14:sparkline>
              <xm:sqref>Y108</xm:sqref>
            </x14:sparkline>
            <x14:sparkline>
              <xm:sqref>Y111</xm:sqref>
            </x14:sparkline>
            <x14:sparkline>
              <xm:sqref>Y112</xm:sqref>
            </x14:sparkline>
            <x14:sparkline>
              <xm:sqref>Y113</xm:sqref>
            </x14:sparkline>
            <x14:sparkline>
              <xm:sqref>Y114</xm:sqref>
            </x14:sparkline>
            <x14:sparkline>
              <xm:sqref>Z98</xm:sqref>
            </x14:sparkline>
            <x14:sparkline>
              <xm:sqref>Z101</xm:sqref>
            </x14:sparkline>
            <x14:sparkline>
              <xm:sqref>Z102</xm:sqref>
            </x14:sparkline>
            <x14:sparkline>
              <xm:sqref>Z104</xm:sqref>
            </x14:sparkline>
            <x14:sparkline>
              <xm:sqref>Z84</xm:sqref>
            </x14:sparkline>
            <x14:sparkline>
              <xm:sqref>Z90</xm:sqref>
            </x14:sparkline>
            <x14:sparkline>
              <xm:sqref>Z91</xm:sqref>
            </x14:sparkline>
            <x14:sparkline>
              <xm:sqref>Z85</xm:sqref>
            </x14:sparkline>
            <x14:sparkline>
              <xm:sqref>Z86</xm:sqref>
            </x14:sparkline>
            <x14:sparkline>
              <xm:sqref>Z92</xm:sqref>
            </x14:sparkline>
            <x14:sparkline>
              <xm:sqref>Z93</xm:sqref>
            </x14:sparkline>
            <x14:sparkline>
              <xm:sqref>Z105</xm:sqref>
            </x14:sparkline>
            <x14:sparkline>
              <xm:sqref>Z106</xm:sqref>
            </x14:sparkline>
            <x14:sparkline>
              <xm:sqref>Z107</xm:sqref>
            </x14:sparkline>
            <x14:sparkline>
              <xm:sqref>Z108</xm:sqref>
            </x14:sparkline>
            <x14:sparkline>
              <xm:sqref>Z111</xm:sqref>
            </x14:sparkline>
            <x14:sparkline>
              <xm:sqref>Z112</xm:sqref>
            </x14:sparkline>
            <x14:sparkline>
              <xm:sqref>Z113</xm:sqref>
            </x14:sparkline>
            <x14:sparkline>
              <xm:sqref>Z114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Input</vt:lpstr>
      <vt:lpstr>Reporte Evolución Mensual</vt:lpstr>
      <vt:lpstr>Listas</vt:lpstr>
      <vt:lpstr>Proyeccion Transferencias</vt:lpstr>
      <vt:lpstr>Gastos de Capital</vt:lpstr>
      <vt:lpstr>Hoja1</vt:lpstr>
      <vt:lpstr>FORECAST - ppt</vt:lpstr>
      <vt:lpstr>'FORECAST - ppt'!Área_de_impresión</vt:lpstr>
      <vt:lpstr>'Reporte Evolución Mensual'!Área_de_impresión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Magali Soldavini</cp:lastModifiedBy>
  <cp:lastPrinted>2018-10-12T12:52:29Z</cp:lastPrinted>
  <dcterms:created xsi:type="dcterms:W3CDTF">2017-01-23T14:58:27Z</dcterms:created>
  <dcterms:modified xsi:type="dcterms:W3CDTF">2019-04-22T14:07:46Z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