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11760"/>
  </bookViews>
  <sheets>
    <sheet name="12-2023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7" i="1" l="1"/>
  <c r="D36" i="1"/>
  <c r="D33" i="1"/>
  <c r="D32" i="1"/>
  <c r="D29" i="1"/>
  <c r="D28" i="1"/>
  <c r="D27" i="1"/>
  <c r="D26" i="1"/>
  <c r="D23" i="1"/>
  <c r="D22" i="1"/>
  <c r="P16" i="1"/>
  <c r="O16" i="1"/>
  <c r="N16" i="1"/>
  <c r="K16" i="1"/>
  <c r="J16" i="1"/>
  <c r="I16" i="1"/>
  <c r="H16" i="1"/>
  <c r="G16" i="1"/>
  <c r="F16" i="1"/>
  <c r="E16" i="1"/>
  <c r="D16" i="1"/>
  <c r="C16" i="1"/>
  <c r="B16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Q14" i="1"/>
  <c r="P14" i="1"/>
  <c r="O14" i="1"/>
  <c r="N14" i="1"/>
  <c r="M14" i="1"/>
  <c r="L14" i="1"/>
  <c r="K14" i="1"/>
  <c r="J14" i="1"/>
  <c r="I14" i="1"/>
  <c r="H14" i="1"/>
  <c r="G14" i="1"/>
  <c r="F14" i="1"/>
  <c r="E14" i="1"/>
  <c r="D14" i="1"/>
  <c r="C14" i="1"/>
  <c r="B14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C13" i="1"/>
  <c r="B13" i="1"/>
  <c r="P12" i="1"/>
  <c r="O12" i="1"/>
  <c r="N12" i="1"/>
  <c r="L12" i="1"/>
  <c r="K12" i="1"/>
  <c r="J12" i="1"/>
  <c r="I12" i="1"/>
  <c r="H12" i="1"/>
  <c r="G12" i="1"/>
  <c r="F12" i="1"/>
  <c r="E12" i="1"/>
  <c r="D12" i="1"/>
  <c r="C12" i="1"/>
  <c r="B12" i="1"/>
</calcChain>
</file>

<file path=xl/sharedStrings.xml><?xml version="1.0" encoding="utf-8"?>
<sst xmlns="http://schemas.openxmlformats.org/spreadsheetml/2006/main" count="47" uniqueCount="42">
  <si>
    <t>SINDICATURA GENERAL DE LA NACIÓN</t>
  </si>
  <si>
    <t>Convenio Colectivo de Trabajo Sectorial para el personal de la Sindicatura General de la Nación (Dto. Nº 1714/2010)</t>
  </si>
  <si>
    <t>Valor de la Unidad Retributiva                       $</t>
  </si>
  <si>
    <t>Personal Planta Permanente</t>
  </si>
  <si>
    <t>Personal Contratado</t>
  </si>
  <si>
    <t>NIVEL</t>
  </si>
  <si>
    <t>Asignación básica del nivel + Adicional por grado (Artículos 59 y 60)</t>
  </si>
  <si>
    <t>Suplemento Agrupamiento Profesional</t>
  </si>
  <si>
    <t>Suplemento por Capacitación Terciaria</t>
  </si>
  <si>
    <t>Adicional por tramo</t>
  </si>
  <si>
    <t>Compensación Transitoria por Mayor Dedicación (Universtitario)</t>
  </si>
  <si>
    <t>Compensación Transitoria por Mayor Dedicación (Terciario/ Pregrado Univ.)</t>
  </si>
  <si>
    <t>Art. 63</t>
  </si>
  <si>
    <t>Art. 64</t>
  </si>
  <si>
    <t>Avanzado</t>
  </si>
  <si>
    <t>Intermedio</t>
  </si>
  <si>
    <t>Dto. 37/2022</t>
  </si>
  <si>
    <t>A partir Grado 7</t>
  </si>
  <si>
    <t>A partir Grado 4</t>
  </si>
  <si>
    <t>A</t>
  </si>
  <si>
    <t>--</t>
  </si>
  <si>
    <t>B</t>
  </si>
  <si>
    <t>C</t>
  </si>
  <si>
    <t>D</t>
  </si>
  <si>
    <t>E</t>
  </si>
  <si>
    <t>SUPLEMENTOS</t>
  </si>
  <si>
    <t>Función Ejecutiva</t>
  </si>
  <si>
    <t>Gerencia</t>
  </si>
  <si>
    <t>Sub-Gerencia</t>
  </si>
  <si>
    <t>Por Responsabilidad de Coordinación</t>
  </si>
  <si>
    <t>Coordinación General</t>
  </si>
  <si>
    <t>Coordinación de Departamento</t>
  </si>
  <si>
    <t>Coordinación de División</t>
  </si>
  <si>
    <t>Coordinación de Sector</t>
  </si>
  <si>
    <t>Por función Síndico Jurisdiccional</t>
  </si>
  <si>
    <t>Síndico Jurisdiccional</t>
  </si>
  <si>
    <t>Síndico Jurisdiccional Adjunto</t>
  </si>
  <si>
    <t>Por función de Síndico de Empresas, Sociedades y/o Entidades</t>
  </si>
  <si>
    <t>Importe máximo</t>
  </si>
  <si>
    <t>Importe mínimo</t>
  </si>
  <si>
    <t>Acta Acuerdo  del 30/10/2023 y 23/11/2023 - Decreto Nº  635/2023</t>
  </si>
  <si>
    <r>
      <t xml:space="preserve">A partir del 01 de </t>
    </r>
    <r>
      <rPr>
        <b/>
        <sz val="11"/>
        <color theme="1"/>
        <rFont val="Calibri"/>
        <family val="2"/>
        <scheme val="minor"/>
      </rPr>
      <t>DICIEMBRE de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</si>
</sst>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Arial"/>
      <family val="2"/>
    </font>
    <font>
      <b/>
      <sz val="9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horizontal="left"/>
    </xf>
    <xf numFmtId="0" fontId="0" fillId="2" borderId="0" xfId="0" applyFill="1"/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4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3" fontId="0" fillId="0" borderId="10" xfId="1" applyFont="1" applyBorder="1" applyAlignment="1"/>
    <xf numFmtId="43" fontId="0" fillId="0" borderId="11" xfId="1" quotePrefix="1" applyFont="1" applyBorder="1" applyAlignment="1">
      <alignment horizontal="center"/>
    </xf>
    <xf numFmtId="43" fontId="0" fillId="0" borderId="10" xfId="1" quotePrefix="1" applyFont="1" applyBorder="1" applyAlignment="1">
      <alignment horizontal="center"/>
    </xf>
    <xf numFmtId="0" fontId="0" fillId="0" borderId="0" xfId="0" applyBorder="1" applyAlignment="1"/>
    <xf numFmtId="0" fontId="0" fillId="0" borderId="12" xfId="0" applyBorder="1" applyAlignment="1">
      <alignment horizontal="center"/>
    </xf>
    <xf numFmtId="43" fontId="0" fillId="0" borderId="12" xfId="1" applyFont="1" applyBorder="1" applyAlignment="1"/>
    <xf numFmtId="43" fontId="0" fillId="0" borderId="13" xfId="1" quotePrefix="1" applyFont="1" applyBorder="1" applyAlignment="1">
      <alignment horizontal="center"/>
    </xf>
    <xf numFmtId="43" fontId="0" fillId="0" borderId="12" xfId="1" quotePrefix="1" applyFont="1" applyBorder="1" applyAlignment="1">
      <alignment horizontal="center"/>
    </xf>
    <xf numFmtId="0" fontId="0" fillId="0" borderId="14" xfId="0" applyBorder="1" applyAlignment="1">
      <alignment horizontal="center"/>
    </xf>
    <xf numFmtId="43" fontId="0" fillId="0" borderId="14" xfId="1" applyFont="1" applyBorder="1" applyAlignment="1"/>
    <xf numFmtId="43" fontId="0" fillId="0" borderId="14" xfId="1" applyFont="1" applyBorder="1" applyAlignment="1">
      <alignment horizontal="center"/>
    </xf>
    <xf numFmtId="43" fontId="0" fillId="0" borderId="15" xfId="1" quotePrefix="1" applyFont="1" applyBorder="1" applyAlignment="1">
      <alignment horizontal="center"/>
    </xf>
    <xf numFmtId="43" fontId="0" fillId="0" borderId="7" xfId="1" quotePrefix="1" applyFont="1" applyBorder="1" applyAlignment="1">
      <alignment horizontal="center"/>
    </xf>
    <xf numFmtId="0" fontId="2" fillId="0" borderId="0" xfId="0" applyFont="1" applyAlignment="1">
      <alignment horizontal="left"/>
    </xf>
    <xf numFmtId="0" fontId="6" fillId="0" borderId="0" xfId="0" applyFont="1"/>
    <xf numFmtId="43" fontId="0" fillId="0" borderId="0" xfId="1" applyFont="1"/>
    <xf numFmtId="17" fontId="0" fillId="0" borderId="0" xfId="0" applyNumberForma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tabSelected="1" workbookViewId="0">
      <selection activeCell="A5" sqref="A5:Q5"/>
    </sheetView>
  </sheetViews>
  <sheetFormatPr baseColWidth="10" defaultRowHeight="15" x14ac:dyDescent="0.25"/>
  <cols>
    <col min="1" max="1" width="12" customWidth="1"/>
    <col min="2" max="11" width="13" bestFit="1" customWidth="1"/>
    <col min="12" max="12" width="12" bestFit="1" customWidth="1"/>
    <col min="13" max="13" width="12.140625" bestFit="1" customWidth="1"/>
    <col min="14" max="14" width="15.42578125" customWidth="1"/>
    <col min="15" max="15" width="14.85546875" customWidth="1"/>
    <col min="16" max="16" width="12" bestFit="1" customWidth="1"/>
    <col min="17" max="17" width="12.140625" bestFit="1" customWidth="1"/>
  </cols>
  <sheetData>
    <row r="1" spans="1:17" ht="18.75" x14ac:dyDescent="0.3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spans="1:17" x14ac:dyDescent="0.25">
      <c r="A2" s="29" t="s">
        <v>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17" ht="14.45" x14ac:dyDescent="0.3">
      <c r="A3" s="30" t="s">
        <v>41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</row>
    <row r="4" spans="1:17" ht="14.45" x14ac:dyDescent="0.3">
      <c r="H4" t="s">
        <v>2</v>
      </c>
      <c r="K4" s="1">
        <v>548.86</v>
      </c>
    </row>
    <row r="5" spans="1:17" s="2" customFormat="1" x14ac:dyDescent="0.25">
      <c r="A5" s="31" t="s">
        <v>40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</row>
    <row r="6" spans="1:17" ht="14.45" x14ac:dyDescent="0.3">
      <c r="K6" s="27"/>
    </row>
    <row r="7" spans="1:17" ht="15.75" thickBot="1" x14ac:dyDescent="0.3"/>
    <row r="8" spans="1:17" ht="15.75" thickBot="1" x14ac:dyDescent="0.3">
      <c r="L8" s="32" t="s">
        <v>3</v>
      </c>
      <c r="M8" s="33"/>
      <c r="N8" s="33"/>
      <c r="O8" s="34"/>
      <c r="P8" s="32" t="s">
        <v>4</v>
      </c>
      <c r="Q8" s="34"/>
    </row>
    <row r="9" spans="1:17" ht="72.75" thickBot="1" x14ac:dyDescent="0.3">
      <c r="A9" s="3" t="s">
        <v>5</v>
      </c>
      <c r="B9" s="35" t="s">
        <v>6</v>
      </c>
      <c r="C9" s="35"/>
      <c r="D9" s="35"/>
      <c r="E9" s="35"/>
      <c r="F9" s="35"/>
      <c r="G9" s="35"/>
      <c r="H9" s="35"/>
      <c r="I9" s="35"/>
      <c r="J9" s="35"/>
      <c r="K9" s="35"/>
      <c r="L9" s="4" t="s">
        <v>7</v>
      </c>
      <c r="M9" s="5" t="s">
        <v>8</v>
      </c>
      <c r="N9" s="36" t="s">
        <v>9</v>
      </c>
      <c r="O9" s="37"/>
      <c r="P9" s="4" t="s">
        <v>10</v>
      </c>
      <c r="Q9" s="4" t="s">
        <v>11</v>
      </c>
    </row>
    <row r="10" spans="1:17" s="8" customFormat="1" ht="15.75" thickBot="1" x14ac:dyDescent="0.3">
      <c r="A10" s="38"/>
      <c r="B10" s="40">
        <v>1</v>
      </c>
      <c r="C10" s="38">
        <v>2</v>
      </c>
      <c r="D10" s="38">
        <v>3</v>
      </c>
      <c r="E10" s="38">
        <v>4</v>
      </c>
      <c r="F10" s="38">
        <v>5</v>
      </c>
      <c r="G10" s="38">
        <v>6</v>
      </c>
      <c r="H10" s="38">
        <v>7</v>
      </c>
      <c r="I10" s="38">
        <v>8</v>
      </c>
      <c r="J10" s="38">
        <v>9</v>
      </c>
      <c r="K10" s="38">
        <v>10</v>
      </c>
      <c r="L10" s="43" t="s">
        <v>12</v>
      </c>
      <c r="M10" s="43" t="s">
        <v>13</v>
      </c>
      <c r="N10" s="6" t="s">
        <v>14</v>
      </c>
      <c r="O10" s="7" t="s">
        <v>15</v>
      </c>
      <c r="P10" s="43" t="s">
        <v>16</v>
      </c>
      <c r="Q10" s="43" t="s">
        <v>16</v>
      </c>
    </row>
    <row r="11" spans="1:17" s="8" customFormat="1" ht="15.75" thickBot="1" x14ac:dyDescent="0.3">
      <c r="A11" s="39"/>
      <c r="B11" s="41"/>
      <c r="C11" s="42"/>
      <c r="D11" s="42"/>
      <c r="E11" s="42"/>
      <c r="F11" s="42"/>
      <c r="G11" s="42"/>
      <c r="H11" s="42"/>
      <c r="I11" s="42"/>
      <c r="J11" s="42"/>
      <c r="K11" s="42"/>
      <c r="L11" s="44"/>
      <c r="M11" s="44"/>
      <c r="N11" s="9" t="s">
        <v>17</v>
      </c>
      <c r="O11" s="9" t="s">
        <v>18</v>
      </c>
      <c r="P11" s="44"/>
      <c r="Q11" s="44"/>
    </row>
    <row r="12" spans="1:17" s="14" customFormat="1" x14ac:dyDescent="0.25">
      <c r="A12" s="10" t="s">
        <v>19</v>
      </c>
      <c r="B12" s="11">
        <f>2132*K4</f>
        <v>1170169.52</v>
      </c>
      <c r="C12" s="11">
        <f>2244*K4</f>
        <v>1231641.8400000001</v>
      </c>
      <c r="D12" s="11">
        <f>2356*K4</f>
        <v>1293114.1599999999</v>
      </c>
      <c r="E12" s="11">
        <f>2468*K4</f>
        <v>1354586.48</v>
      </c>
      <c r="F12" s="11">
        <f>2590*K4</f>
        <v>1421547.4000000001</v>
      </c>
      <c r="G12" s="11">
        <f>2725*K4</f>
        <v>1495643.5</v>
      </c>
      <c r="H12" s="11">
        <f>2804*K4</f>
        <v>1539003.44</v>
      </c>
      <c r="I12" s="11">
        <f>2916*K4</f>
        <v>1600475.76</v>
      </c>
      <c r="J12" s="11">
        <f>3028*K4</f>
        <v>1661948.08</v>
      </c>
      <c r="K12" s="11">
        <f>3140*K4</f>
        <v>1723420.4000000001</v>
      </c>
      <c r="L12" s="11">
        <f>487.5*K4</f>
        <v>267569.25</v>
      </c>
      <c r="M12" s="12" t="s">
        <v>20</v>
      </c>
      <c r="N12" s="11">
        <f>585*K4</f>
        <v>321083.10000000003</v>
      </c>
      <c r="O12" s="11">
        <f>292.5*K4</f>
        <v>160541.55000000002</v>
      </c>
      <c r="P12" s="11">
        <f>292.5*K4</f>
        <v>160541.55000000002</v>
      </c>
      <c r="Q12" s="13" t="s">
        <v>20</v>
      </c>
    </row>
    <row r="13" spans="1:17" s="14" customFormat="1" x14ac:dyDescent="0.25">
      <c r="A13" s="15" t="s">
        <v>21</v>
      </c>
      <c r="B13" s="16">
        <f>1705*K4</f>
        <v>935806.3</v>
      </c>
      <c r="C13" s="16">
        <f>1810*K4</f>
        <v>993436.6</v>
      </c>
      <c r="D13" s="16">
        <f>1885*K4</f>
        <v>1034601.1</v>
      </c>
      <c r="E13" s="16">
        <f>1957*K4</f>
        <v>1074119.02</v>
      </c>
      <c r="F13" s="16">
        <f>2050*K4</f>
        <v>1125163</v>
      </c>
      <c r="G13" s="16">
        <f>2125*K4</f>
        <v>1166327.5</v>
      </c>
      <c r="H13" s="16">
        <f>2230*K4</f>
        <v>1223957.8</v>
      </c>
      <c r="I13" s="16">
        <f>2345*K4</f>
        <v>1287076.7</v>
      </c>
      <c r="J13" s="16">
        <f>2442*K4</f>
        <v>1340316.1200000001</v>
      </c>
      <c r="K13" s="16">
        <f>2539*K4</f>
        <v>1393555.54</v>
      </c>
      <c r="L13" s="16">
        <f>387.5*K4</f>
        <v>212683.25</v>
      </c>
      <c r="M13" s="17">
        <f>155*K4</f>
        <v>85073.3</v>
      </c>
      <c r="N13" s="16">
        <f>465*K4</f>
        <v>255219.9</v>
      </c>
      <c r="O13" s="16">
        <f>232.5*K4</f>
        <v>127609.95</v>
      </c>
      <c r="P13" s="16">
        <f>232.5*K4</f>
        <v>127609.95</v>
      </c>
      <c r="Q13" s="18">
        <f>77.5*K4</f>
        <v>42536.65</v>
      </c>
    </row>
    <row r="14" spans="1:17" s="14" customFormat="1" x14ac:dyDescent="0.25">
      <c r="A14" s="15" t="s">
        <v>22</v>
      </c>
      <c r="B14" s="16">
        <f>1142*K4</f>
        <v>626798.12</v>
      </c>
      <c r="C14" s="16">
        <f>1224*K4</f>
        <v>671804.64</v>
      </c>
      <c r="D14" s="16">
        <f>1306*K4</f>
        <v>716811.16</v>
      </c>
      <c r="E14" s="16">
        <f>1363*K4</f>
        <v>748096.18</v>
      </c>
      <c r="F14" s="16">
        <f>1503*K4</f>
        <v>824936.58000000007</v>
      </c>
      <c r="G14" s="16">
        <f>1633*K4</f>
        <v>896288.38</v>
      </c>
      <c r="H14" s="16">
        <f>1718*K4</f>
        <v>942941.48</v>
      </c>
      <c r="I14" s="16">
        <f>1748*K4</f>
        <v>959407.28</v>
      </c>
      <c r="J14" s="16">
        <f>1808*K4</f>
        <v>992338.88</v>
      </c>
      <c r="K14" s="16">
        <f>1868*K4</f>
        <v>1025270.48</v>
      </c>
      <c r="L14" s="16">
        <f>262*K4</f>
        <v>143801.32</v>
      </c>
      <c r="M14" s="17">
        <f>104.8*K4</f>
        <v>57520.527999999998</v>
      </c>
      <c r="N14" s="16">
        <f>314.4*K4</f>
        <v>172561.584</v>
      </c>
      <c r="O14" s="16">
        <f>157.2*K4</f>
        <v>86280.792000000001</v>
      </c>
      <c r="P14" s="16">
        <f>157.2*K4</f>
        <v>86280.792000000001</v>
      </c>
      <c r="Q14" s="18">
        <f>52.4*K4</f>
        <v>28760.263999999999</v>
      </c>
    </row>
    <row r="15" spans="1:17" s="14" customFormat="1" x14ac:dyDescent="0.25">
      <c r="A15" s="15" t="s">
        <v>23</v>
      </c>
      <c r="B15" s="16">
        <f>613*K4</f>
        <v>336451.18</v>
      </c>
      <c r="C15" s="16">
        <f>671*K4</f>
        <v>368285.06</v>
      </c>
      <c r="D15" s="16">
        <f>738*K4</f>
        <v>405058.68</v>
      </c>
      <c r="E15" s="16">
        <f>805*K4</f>
        <v>441832.3</v>
      </c>
      <c r="F15" s="16">
        <f>872*K4</f>
        <v>478605.92</v>
      </c>
      <c r="G15" s="16">
        <f>940*K4</f>
        <v>515928.4</v>
      </c>
      <c r="H15" s="16">
        <f>1006*K4</f>
        <v>552153.16</v>
      </c>
      <c r="I15" s="16">
        <f>1073*K4</f>
        <v>588926.78</v>
      </c>
      <c r="J15" s="16">
        <f>1140*K4</f>
        <v>625700.4</v>
      </c>
      <c r="K15" s="16">
        <f>1207*K4</f>
        <v>662474.02</v>
      </c>
      <c r="L15" s="16">
        <f>141.25*K4</f>
        <v>77526.475000000006</v>
      </c>
      <c r="M15" s="17">
        <f>56.5*K4</f>
        <v>31010.59</v>
      </c>
      <c r="N15" s="16">
        <f>169.5*K4</f>
        <v>93031.77</v>
      </c>
      <c r="O15" s="16">
        <f>84.75*K4</f>
        <v>46515.885000000002</v>
      </c>
      <c r="P15" s="16">
        <f>84.75*K4</f>
        <v>46515.885000000002</v>
      </c>
      <c r="Q15" s="18">
        <f>28.25*K4</f>
        <v>15505.295</v>
      </c>
    </row>
    <row r="16" spans="1:17" s="14" customFormat="1" ht="15.75" thickBot="1" x14ac:dyDescent="0.3">
      <c r="A16" s="19" t="s">
        <v>24</v>
      </c>
      <c r="B16" s="20">
        <f>382*K4</f>
        <v>209664.52000000002</v>
      </c>
      <c r="C16" s="20">
        <f>426*K4</f>
        <v>233814.36000000002</v>
      </c>
      <c r="D16" s="20">
        <f>469*K4</f>
        <v>257415.34</v>
      </c>
      <c r="E16" s="20">
        <f>512*K4</f>
        <v>281016.32000000001</v>
      </c>
      <c r="F16" s="20">
        <f>555*K4</f>
        <v>304617.3</v>
      </c>
      <c r="G16" s="20">
        <f>598*K4</f>
        <v>328218.28000000003</v>
      </c>
      <c r="H16" s="20">
        <f>648*K4</f>
        <v>355661.28</v>
      </c>
      <c r="I16" s="20">
        <f>698*K4</f>
        <v>383104.28</v>
      </c>
      <c r="J16" s="20">
        <f>748*K4</f>
        <v>410547.28</v>
      </c>
      <c r="K16" s="20">
        <f>798*K4</f>
        <v>437990.28</v>
      </c>
      <c r="L16" s="21" t="s">
        <v>20</v>
      </c>
      <c r="M16" s="22" t="s">
        <v>20</v>
      </c>
      <c r="N16" s="20">
        <f>104.4*K4</f>
        <v>57300.984000000004</v>
      </c>
      <c r="O16" s="20">
        <f>52.2*K4</f>
        <v>28650.492000000002</v>
      </c>
      <c r="P16" s="21">
        <f>52.2*K4</f>
        <v>28650.492000000002</v>
      </c>
      <c r="Q16" s="23" t="s">
        <v>20</v>
      </c>
    </row>
    <row r="19" spans="1:4" x14ac:dyDescent="0.25">
      <c r="A19" s="24" t="s">
        <v>25</v>
      </c>
    </row>
    <row r="21" spans="1:4" x14ac:dyDescent="0.25">
      <c r="A21" s="25" t="s">
        <v>26</v>
      </c>
    </row>
    <row r="22" spans="1:4" x14ac:dyDescent="0.25">
      <c r="A22" t="s">
        <v>27</v>
      </c>
      <c r="D22" s="26">
        <f>706*K4</f>
        <v>387495.16000000003</v>
      </c>
    </row>
    <row r="23" spans="1:4" x14ac:dyDescent="0.25">
      <c r="A23" t="s">
        <v>28</v>
      </c>
      <c r="D23" s="26">
        <f>353*K4</f>
        <v>193747.58000000002</v>
      </c>
    </row>
    <row r="25" spans="1:4" x14ac:dyDescent="0.25">
      <c r="A25" s="25" t="s">
        <v>29</v>
      </c>
    </row>
    <row r="26" spans="1:4" x14ac:dyDescent="0.25">
      <c r="A26" t="s">
        <v>30</v>
      </c>
      <c r="D26" s="26">
        <f>294*K4</f>
        <v>161364.84</v>
      </c>
    </row>
    <row r="27" spans="1:4" x14ac:dyDescent="0.25">
      <c r="A27" t="s">
        <v>31</v>
      </c>
      <c r="D27" s="26">
        <f>235*K4</f>
        <v>128982.1</v>
      </c>
    </row>
    <row r="28" spans="1:4" x14ac:dyDescent="0.25">
      <c r="A28" t="s">
        <v>32</v>
      </c>
      <c r="D28" s="26">
        <f>101*K4</f>
        <v>55434.86</v>
      </c>
    </row>
    <row r="29" spans="1:4" x14ac:dyDescent="0.25">
      <c r="A29" t="s">
        <v>33</v>
      </c>
      <c r="D29" s="26">
        <f>2*33.58*K4</f>
        <v>36861.437599999997</v>
      </c>
    </row>
    <row r="31" spans="1:4" x14ac:dyDescent="0.25">
      <c r="A31" s="25" t="s">
        <v>34</v>
      </c>
    </row>
    <row r="32" spans="1:4" x14ac:dyDescent="0.25">
      <c r="A32" t="s">
        <v>35</v>
      </c>
      <c r="D32" s="26">
        <f>235*K4</f>
        <v>128982.1</v>
      </c>
    </row>
    <row r="33" spans="1:4" x14ac:dyDescent="0.25">
      <c r="A33" t="s">
        <v>36</v>
      </c>
      <c r="D33" s="26">
        <f>101*K4</f>
        <v>55434.86</v>
      </c>
    </row>
    <row r="35" spans="1:4" x14ac:dyDescent="0.25">
      <c r="A35" s="25" t="s">
        <v>37</v>
      </c>
    </row>
    <row r="36" spans="1:4" x14ac:dyDescent="0.25">
      <c r="A36" t="s">
        <v>38</v>
      </c>
      <c r="D36" s="26">
        <f>235*K4</f>
        <v>128982.1</v>
      </c>
    </row>
    <row r="37" spans="1:4" x14ac:dyDescent="0.25">
      <c r="A37" t="s">
        <v>39</v>
      </c>
      <c r="D37" s="26">
        <f>33.58*K4</f>
        <v>18430.718799999999</v>
      </c>
    </row>
  </sheetData>
  <mergeCells count="23">
    <mergeCell ref="Q10:Q11"/>
    <mergeCell ref="I10:I11"/>
    <mergeCell ref="J10:J11"/>
    <mergeCell ref="K10:K11"/>
    <mergeCell ref="L10:L11"/>
    <mergeCell ref="M10:M11"/>
    <mergeCell ref="P10:P11"/>
    <mergeCell ref="B9:K9"/>
    <mergeCell ref="N9:O9"/>
    <mergeCell ref="A10:A11"/>
    <mergeCell ref="B10:B11"/>
    <mergeCell ref="C10:C11"/>
    <mergeCell ref="D10:D11"/>
    <mergeCell ref="E10:E11"/>
    <mergeCell ref="F10:F11"/>
    <mergeCell ref="G10:G11"/>
    <mergeCell ref="H10:H11"/>
    <mergeCell ref="A1:Q1"/>
    <mergeCell ref="A2:Q2"/>
    <mergeCell ref="A3:Q3"/>
    <mergeCell ref="A5:Q5"/>
    <mergeCell ref="L8:O8"/>
    <mergeCell ref="P8:Q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12-2023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Alicia Koike</dc:creator>
  <cp:lastModifiedBy>Ivana Gabriela Pereyra</cp:lastModifiedBy>
  <dcterms:created xsi:type="dcterms:W3CDTF">2023-06-01T13:35:24Z</dcterms:created>
  <dcterms:modified xsi:type="dcterms:W3CDTF">2023-11-30T16:08:24Z</dcterms:modified>
</cp:coreProperties>
</file>